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pivotTables/pivotTable1.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Kenan Çılman\Desktop\Excelsizeyeter Dosyaları\planlama\"/>
    </mc:Choice>
  </mc:AlternateContent>
  <bookViews>
    <workbookView xWindow="0" yWindow="0" windowWidth="23430" windowHeight="12360"/>
  </bookViews>
  <sheets>
    <sheet name="PROJECT PARAMETERS" sheetId="1" r:id="rId1"/>
    <sheet name="PROJECT DETAILS" sheetId="2" r:id="rId2"/>
    <sheet name="PROJECT TOTALS" sheetId="3" r:id="rId3"/>
  </sheets>
  <definedNames>
    <definedName name="_xlnm.Print_Titles" localSheetId="1">'PROJECT DETAILS'!$6:$6</definedName>
    <definedName name="_xlnm.Print_Titles" localSheetId="2">'PROJECT TOTALS'!$6:$6</definedName>
    <definedName name="ProjectType">tblParameters[PROJECT TYPE]</definedName>
  </definedNames>
  <calcPr calcId="152511"/>
  <pivotCaches>
    <pivotCache cacheId="10" r:id="rId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3" l="1"/>
  <c r="K10" i="2"/>
  <c r="K14" i="2"/>
  <c r="K18" i="2"/>
  <c r="K22" i="2"/>
  <c r="K26" i="2"/>
  <c r="W7" i="2"/>
  <c r="W8" i="2"/>
  <c r="W9" i="2"/>
  <c r="W10" i="2"/>
  <c r="W11" i="2"/>
  <c r="W12" i="2"/>
  <c r="W13" i="2"/>
  <c r="W14" i="2"/>
  <c r="W15" i="2"/>
  <c r="W16" i="2"/>
  <c r="W17" i="2"/>
  <c r="W18" i="2"/>
  <c r="W19" i="2"/>
  <c r="W20" i="2"/>
  <c r="W21" i="2"/>
  <c r="W22" i="2"/>
  <c r="W23" i="2"/>
  <c r="W24" i="2"/>
  <c r="W25" i="2"/>
  <c r="W26" i="2"/>
  <c r="W27" i="2"/>
  <c r="W28" i="2"/>
  <c r="V7" i="2"/>
  <c r="V8" i="2"/>
  <c r="V9" i="2"/>
  <c r="V10" i="2"/>
  <c r="V11" i="2"/>
  <c r="V12" i="2"/>
  <c r="V13" i="2"/>
  <c r="V14" i="2"/>
  <c r="V15" i="2"/>
  <c r="V16" i="2"/>
  <c r="V17" i="2"/>
  <c r="V18" i="2"/>
  <c r="V19" i="2"/>
  <c r="V20" i="2"/>
  <c r="V21" i="2"/>
  <c r="V22" i="2"/>
  <c r="V23" i="2"/>
  <c r="V24" i="2"/>
  <c r="V25" i="2"/>
  <c r="V26" i="2"/>
  <c r="V27" i="2"/>
  <c r="V28" i="2"/>
  <c r="U7" i="2"/>
  <c r="U8" i="2"/>
  <c r="U9" i="2"/>
  <c r="U10" i="2"/>
  <c r="U11" i="2"/>
  <c r="U12" i="2"/>
  <c r="U13" i="2"/>
  <c r="U14" i="2"/>
  <c r="U15" i="2"/>
  <c r="U16" i="2"/>
  <c r="U17" i="2"/>
  <c r="U18" i="2"/>
  <c r="U19" i="2"/>
  <c r="U20" i="2"/>
  <c r="U21" i="2"/>
  <c r="U22" i="2"/>
  <c r="U23" i="2"/>
  <c r="U24" i="2"/>
  <c r="U25" i="2"/>
  <c r="U26" i="2"/>
  <c r="U27" i="2"/>
  <c r="U28" i="2"/>
  <c r="T7" i="2"/>
  <c r="T8" i="2"/>
  <c r="T9" i="2"/>
  <c r="T10" i="2"/>
  <c r="T11" i="2"/>
  <c r="T12" i="2"/>
  <c r="T13" i="2"/>
  <c r="T14" i="2"/>
  <c r="T15" i="2"/>
  <c r="T16" i="2"/>
  <c r="T17" i="2"/>
  <c r="T18" i="2"/>
  <c r="T19" i="2"/>
  <c r="T20" i="2"/>
  <c r="T21" i="2"/>
  <c r="T22" i="2"/>
  <c r="T23" i="2"/>
  <c r="T24" i="2"/>
  <c r="T25" i="2"/>
  <c r="T26" i="2"/>
  <c r="T27" i="2"/>
  <c r="T28" i="2"/>
  <c r="S7" i="2"/>
  <c r="S8" i="2"/>
  <c r="S9" i="2"/>
  <c r="S10" i="2"/>
  <c r="S11" i="2"/>
  <c r="S12" i="2"/>
  <c r="S13" i="2"/>
  <c r="S14" i="2"/>
  <c r="S15" i="2"/>
  <c r="S16" i="2"/>
  <c r="S17" i="2"/>
  <c r="S18" i="2"/>
  <c r="S19" i="2"/>
  <c r="S20" i="2"/>
  <c r="S21" i="2"/>
  <c r="S22" i="2"/>
  <c r="S23" i="2"/>
  <c r="S24" i="2"/>
  <c r="S25" i="2"/>
  <c r="S26" i="2"/>
  <c r="S27" i="2"/>
  <c r="S28" i="2"/>
  <c r="R7" i="2"/>
  <c r="R8" i="2"/>
  <c r="R9" i="2"/>
  <c r="R10" i="2"/>
  <c r="R11" i="2"/>
  <c r="R12" i="2"/>
  <c r="R13" i="2"/>
  <c r="R14" i="2"/>
  <c r="R15" i="2"/>
  <c r="R16" i="2"/>
  <c r="R17" i="2"/>
  <c r="R18" i="2"/>
  <c r="R19" i="2"/>
  <c r="R20" i="2"/>
  <c r="R21" i="2"/>
  <c r="R22" i="2"/>
  <c r="R23" i="2"/>
  <c r="R24" i="2"/>
  <c r="R25" i="2"/>
  <c r="R26" i="2"/>
  <c r="R27" i="2"/>
  <c r="R28" i="2"/>
  <c r="Q7" i="2"/>
  <c r="Q8" i="2"/>
  <c r="Q9" i="2"/>
  <c r="Q10" i="2"/>
  <c r="Q11" i="2"/>
  <c r="Q12" i="2"/>
  <c r="Q13" i="2"/>
  <c r="Q14" i="2"/>
  <c r="Q15" i="2"/>
  <c r="Q16" i="2"/>
  <c r="Q17" i="2"/>
  <c r="Q18" i="2"/>
  <c r="Q19" i="2"/>
  <c r="Q20" i="2"/>
  <c r="Q21" i="2"/>
  <c r="Q22" i="2"/>
  <c r="Q23" i="2"/>
  <c r="Q24" i="2"/>
  <c r="Q25" i="2"/>
  <c r="Q26" i="2"/>
  <c r="Q27" i="2"/>
  <c r="Q28" i="2"/>
  <c r="P7" i="2"/>
  <c r="P8" i="2"/>
  <c r="P9" i="2"/>
  <c r="P10" i="2"/>
  <c r="P11" i="2"/>
  <c r="P12" i="2"/>
  <c r="P13" i="2"/>
  <c r="P14" i="2"/>
  <c r="P15" i="2"/>
  <c r="P16" i="2"/>
  <c r="P17" i="2"/>
  <c r="P18" i="2"/>
  <c r="P19" i="2"/>
  <c r="P20" i="2"/>
  <c r="P21" i="2"/>
  <c r="P22" i="2"/>
  <c r="P23" i="2"/>
  <c r="P24" i="2"/>
  <c r="P25" i="2"/>
  <c r="P26" i="2"/>
  <c r="P27" i="2"/>
  <c r="P28" i="2"/>
  <c r="O7" i="2"/>
  <c r="O8" i="2"/>
  <c r="O9" i="2"/>
  <c r="O10" i="2"/>
  <c r="O11" i="2"/>
  <c r="O12" i="2"/>
  <c r="O13" i="2"/>
  <c r="O14" i="2"/>
  <c r="O15" i="2"/>
  <c r="O16" i="2"/>
  <c r="O17" i="2"/>
  <c r="O18" i="2"/>
  <c r="O19" i="2"/>
  <c r="O20" i="2"/>
  <c r="O21" i="2"/>
  <c r="O22" i="2"/>
  <c r="O23" i="2"/>
  <c r="O24" i="2"/>
  <c r="O25" i="2"/>
  <c r="O26" i="2"/>
  <c r="O27" i="2"/>
  <c r="O28" i="2"/>
  <c r="N7" i="2"/>
  <c r="N8" i="2"/>
  <c r="N9" i="2"/>
  <c r="N10" i="2"/>
  <c r="N11" i="2"/>
  <c r="N12" i="2"/>
  <c r="N13" i="2"/>
  <c r="N14" i="2"/>
  <c r="N15" i="2"/>
  <c r="N16" i="2"/>
  <c r="N17" i="2"/>
  <c r="N18" i="2"/>
  <c r="N19" i="2"/>
  <c r="N20" i="2"/>
  <c r="N21" i="2"/>
  <c r="N22" i="2"/>
  <c r="N23" i="2"/>
  <c r="N24" i="2"/>
  <c r="N25" i="2"/>
  <c r="N26" i="2"/>
  <c r="N27" i="2"/>
  <c r="N28" i="2"/>
  <c r="M7" i="2"/>
  <c r="M8" i="2"/>
  <c r="M9" i="2"/>
  <c r="M10" i="2"/>
  <c r="M11" i="2"/>
  <c r="M12" i="2"/>
  <c r="M13" i="2"/>
  <c r="M14" i="2"/>
  <c r="M15" i="2"/>
  <c r="M16" i="2"/>
  <c r="M17" i="2"/>
  <c r="M18" i="2"/>
  <c r="M19" i="2"/>
  <c r="M20" i="2"/>
  <c r="M21" i="2"/>
  <c r="M22" i="2"/>
  <c r="M23" i="2"/>
  <c r="M24" i="2"/>
  <c r="M25" i="2"/>
  <c r="M26" i="2"/>
  <c r="M27" i="2"/>
  <c r="M28" i="2"/>
  <c r="L7" i="2"/>
  <c r="L8" i="2"/>
  <c r="L9" i="2"/>
  <c r="L10" i="2"/>
  <c r="L11" i="2"/>
  <c r="L12" i="2"/>
  <c r="L13" i="2"/>
  <c r="L14" i="2"/>
  <c r="L15" i="2"/>
  <c r="L16" i="2"/>
  <c r="L17" i="2"/>
  <c r="L18" i="2"/>
  <c r="L19" i="2"/>
  <c r="L20" i="2"/>
  <c r="L21" i="2"/>
  <c r="L22" i="2"/>
  <c r="L23" i="2"/>
  <c r="L24" i="2"/>
  <c r="L25" i="2"/>
  <c r="L26" i="2"/>
  <c r="L27" i="2"/>
  <c r="L28" i="2"/>
  <c r="B2" i="2"/>
  <c r="K7" i="2"/>
  <c r="K8" i="2"/>
  <c r="K9" i="2"/>
  <c r="K11" i="2"/>
  <c r="K12" i="2"/>
  <c r="K13" i="2"/>
  <c r="K15" i="2"/>
  <c r="K16" i="2"/>
  <c r="K17" i="2"/>
  <c r="K19" i="2"/>
  <c r="K20" i="2"/>
  <c r="K21" i="2"/>
  <c r="K23" i="2"/>
  <c r="K24" i="2"/>
  <c r="K25" i="2"/>
  <c r="K27" i="2"/>
  <c r="K28" i="2"/>
  <c r="J7" i="2"/>
  <c r="J8" i="2"/>
  <c r="J9" i="2"/>
  <c r="J10" i="2"/>
  <c r="J11" i="2"/>
  <c r="J12" i="2"/>
  <c r="J13" i="2"/>
  <c r="J14" i="2"/>
  <c r="J15" i="2"/>
  <c r="J16" i="2"/>
  <c r="J17" i="2"/>
  <c r="J18" i="2"/>
  <c r="J19" i="2"/>
  <c r="J20" i="2"/>
  <c r="J21" i="2"/>
  <c r="J22" i="2"/>
  <c r="J23" i="2"/>
  <c r="J24" i="2"/>
  <c r="J25" i="2"/>
  <c r="J26" i="2"/>
  <c r="J27" i="2"/>
  <c r="J28" i="2"/>
  <c r="I29" i="2"/>
  <c r="H29" i="2"/>
  <c r="I8" i="1"/>
  <c r="I9" i="1"/>
  <c r="I10" i="1"/>
  <c r="I11" i="1"/>
  <c r="I12" i="1"/>
  <c r="I13" i="1"/>
  <c r="D19" i="1" l="1"/>
  <c r="D21" i="1" s="1"/>
  <c r="H19" i="1"/>
  <c r="H21" i="1" s="1"/>
  <c r="F19" i="1"/>
  <c r="F21" i="1" s="1"/>
  <c r="G19" i="1"/>
  <c r="G21" i="1" s="1"/>
  <c r="E19" i="1"/>
  <c r="E21" i="1" s="1"/>
  <c r="F18" i="1"/>
  <c r="F20" i="1" s="1"/>
  <c r="E18" i="1"/>
  <c r="E20" i="1" s="1"/>
  <c r="C19" i="1"/>
  <c r="C21" i="1" s="1"/>
  <c r="D18" i="1"/>
  <c r="D20" i="1" s="1"/>
  <c r="H18" i="1"/>
  <c r="H20" i="1" s="1"/>
  <c r="C18" i="1"/>
  <c r="C20" i="1" s="1"/>
  <c r="G18" i="1"/>
  <c r="G20" i="1" s="1"/>
  <c r="J29" i="2"/>
  <c r="K29" i="2"/>
</calcChain>
</file>

<file path=xl/sharedStrings.xml><?xml version="1.0" encoding="utf-8"?>
<sst xmlns="http://schemas.openxmlformats.org/spreadsheetml/2006/main" count="138" uniqueCount="76">
  <si>
    <t>[Company Name]</t>
  </si>
  <si>
    <t>Event Management Project Tracker</t>
  </si>
  <si>
    <t>Company Confidential</t>
  </si>
  <si>
    <t>Shaded cells are calculated for you. You do not need to enter anything into them.</t>
  </si>
  <si>
    <t>Total</t>
  </si>
  <si>
    <t>Event strategy development</t>
  </si>
  <si>
    <t>Event planning</t>
  </si>
  <si>
    <t>Event design</t>
  </si>
  <si>
    <t>Event logistics</t>
  </si>
  <si>
    <t>Event staffing</t>
  </si>
  <si>
    <t>Event assessment</t>
  </si>
  <si>
    <t>Blended rates</t>
  </si>
  <si>
    <t>A. Datum Corporation</t>
  </si>
  <si>
    <t>Adventure Works</t>
  </si>
  <si>
    <t>Alpine Ski House</t>
  </si>
  <si>
    <t>Baldwin Museum of Science</t>
  </si>
  <si>
    <t>Blue Yonder Airlines</t>
  </si>
  <si>
    <t>City Power &amp; Light</t>
  </si>
  <si>
    <t>Coho Vineyard</t>
  </si>
  <si>
    <t>Coho Winery</t>
  </si>
  <si>
    <t>Coho Vineyard &amp; Winery</t>
  </si>
  <si>
    <t>Contoso, Ltd.</t>
  </si>
  <si>
    <t>Contoso Pharmaceuticals</t>
  </si>
  <si>
    <t>Consolidated Messenger</t>
  </si>
  <si>
    <t>Fabrikam, Inc.</t>
  </si>
  <si>
    <t>Fourth Coffee</t>
  </si>
  <si>
    <t>Graphic Design Institute</t>
  </si>
  <si>
    <t>Humongous Insurance</t>
  </si>
  <si>
    <t>Litware, Inc.</t>
  </si>
  <si>
    <t>Lucerne Publishing</t>
  </si>
  <si>
    <t>Margie's Travel</t>
  </si>
  <si>
    <t>Northwind Traders</t>
  </si>
  <si>
    <t>Proseware, Inc.</t>
  </si>
  <si>
    <t>School of Fine Art</t>
  </si>
  <si>
    <t>TOTAL</t>
  </si>
  <si>
    <t>ACTUAL START</t>
  </si>
  <si>
    <t>ACTUAL FINISH</t>
  </si>
  <si>
    <t>PROJECT NAME</t>
  </si>
  <si>
    <t>PROJECT TYPE</t>
  </si>
  <si>
    <t>ESTIMATED START</t>
  </si>
  <si>
    <t>ESTIMATED FINISH</t>
  </si>
  <si>
    <t>ESTIMATED WORK</t>
  </si>
  <si>
    <t>ESTIMATED DURATION</t>
  </si>
  <si>
    <t>ACTUAL WORK</t>
  </si>
  <si>
    <t>ACTUAL DURATION</t>
  </si>
  <si>
    <t>Grand Total</t>
  </si>
  <si>
    <t>ACCOUNT MANAGER</t>
  </si>
  <si>
    <t>PROJECT MANAGER</t>
  </si>
  <si>
    <t>STRATEGY MANAGER</t>
  </si>
  <si>
    <t>DESIGN SPECIALIST</t>
  </si>
  <si>
    <t>EVENT STAFF</t>
  </si>
  <si>
    <t>ADMIN STAFF</t>
  </si>
  <si>
    <t>PLANNING</t>
  </si>
  <si>
    <t>ACTUALS</t>
  </si>
  <si>
    <t xml:space="preserve">ACCOUNT MANAGER </t>
  </si>
  <si>
    <t xml:space="preserve">PROJECT MANAGER </t>
  </si>
  <si>
    <t xml:space="preserve">STRATEGY MANAGER </t>
  </si>
  <si>
    <t xml:space="preserve">DESIGN SPECIALIST </t>
  </si>
  <si>
    <t xml:space="preserve">ADMIN STAFF </t>
  </si>
  <si>
    <t xml:space="preserve">EVENT STAFF </t>
  </si>
  <si>
    <t>ACCOUNT MANAGER ESTIMATE</t>
  </si>
  <si>
    <t>PROJECT MANAGER ESTIMATE</t>
  </si>
  <si>
    <t>STRATEGY MANAGER ESTIMATE</t>
  </si>
  <si>
    <t>DESIGN SPECIALIST ESTIMATE</t>
  </si>
  <si>
    <t>EVENT STAFF ESTIMATE</t>
  </si>
  <si>
    <t>ADMIN STAFF ESTIMATE</t>
  </si>
  <si>
    <t>ACCOUNT MANAGER ACTUAL</t>
  </si>
  <si>
    <t>PROJECT MANAGER ACTUAL</t>
  </si>
  <si>
    <t>STRATEGY MANAGER ACTUAL</t>
  </si>
  <si>
    <t>DESIGN SPECIALIST ACTUAL</t>
  </si>
  <si>
    <t>EVENT STAFF ACTUAL</t>
  </si>
  <si>
    <t>ADMIN STAFF ACTUAL</t>
  </si>
  <si>
    <t>PLANNED COST</t>
  </si>
  <si>
    <t>PLANNED HOURS</t>
  </si>
  <si>
    <t>ACTUAL COST</t>
  </si>
  <si>
    <t>ACTUAL HOURS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</si>
</sst>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00"/>
  </numFmts>
  <fonts count="11" x14ac:knownFonts="1">
    <font>
      <sz val="10"/>
      <color theme="1" tint="0.24994659260841701"/>
      <name val="Cambria"/>
      <family val="2"/>
      <scheme val="minor"/>
    </font>
    <font>
      <sz val="11"/>
      <color theme="1"/>
      <name val="Cambria"/>
      <family val="1"/>
      <scheme val="minor"/>
    </font>
    <font>
      <sz val="20"/>
      <color theme="1" tint="0.24994659260841701"/>
      <name val="Tahoma"/>
      <family val="2"/>
      <scheme val="major"/>
    </font>
    <font>
      <sz val="16"/>
      <color theme="1" tint="0.34998626667073579"/>
      <name val="Tahoma"/>
      <family val="2"/>
      <scheme val="major"/>
    </font>
    <font>
      <sz val="12"/>
      <color theme="1" tint="0.24994659260841701"/>
      <name val="Tahoma"/>
      <family val="2"/>
      <scheme val="major"/>
    </font>
    <font>
      <sz val="11"/>
      <color theme="1"/>
      <name val="Cambria"/>
      <family val="1"/>
      <scheme val="minor"/>
    </font>
    <font>
      <i/>
      <sz val="10"/>
      <color theme="1"/>
      <name val="Tahoma"/>
      <family val="2"/>
      <scheme val="major"/>
    </font>
    <font>
      <sz val="10"/>
      <color theme="1"/>
      <name val="Tahoma"/>
      <family val="2"/>
      <scheme val="major"/>
    </font>
    <font>
      <sz val="10"/>
      <color theme="1"/>
      <name val="Tahoma"/>
      <family val="2"/>
      <scheme val="major"/>
    </font>
    <font>
      <sz val="11"/>
      <color theme="0"/>
      <name val="Cambria"/>
      <family val="1"/>
      <scheme val="minor"/>
    </font>
    <font>
      <sz val="11"/>
      <color theme="1" tint="0.14999847407452621"/>
      <name val="Cambria"/>
      <family val="1"/>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0.249977111117893"/>
        <bgColor indexed="64"/>
      </patternFill>
    </fill>
  </fills>
  <borders count="5">
    <border>
      <left/>
      <right/>
      <top/>
      <bottom/>
      <diagonal/>
    </border>
    <border>
      <left/>
      <right/>
      <top/>
      <bottom style="thin">
        <color theme="4" tint="-0.499984740745262"/>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s>
  <cellStyleXfs count="4">
    <xf numFmtId="0" fontId="0" fillId="0" borderId="0"/>
    <xf numFmtId="0" fontId="2" fillId="0" borderId="1" applyNumberFormat="0" applyFill="0" applyAlignment="0" applyProtection="0"/>
    <xf numFmtId="0" fontId="3" fillId="0" borderId="0" applyNumberFormat="0" applyFill="0" applyAlignment="0" applyProtection="0"/>
    <xf numFmtId="0" fontId="4" fillId="0" borderId="0" applyNumberFormat="0" applyFill="0" applyAlignment="0" applyProtection="0"/>
  </cellStyleXfs>
  <cellXfs count="24">
    <xf numFmtId="0" fontId="0" fillId="0" borderId="0" xfId="0"/>
    <xf numFmtId="0" fontId="1" fillId="0" borderId="0" xfId="0" applyFont="1"/>
    <xf numFmtId="0" fontId="2" fillId="0" borderId="1" xfId="1"/>
    <xf numFmtId="0" fontId="3" fillId="0" borderId="0" xfId="2"/>
    <xf numFmtId="0" fontId="4" fillId="0" borderId="0" xfId="3"/>
    <xf numFmtId="0" fontId="5" fillId="0" borderId="0" xfId="0" applyFont="1"/>
    <xf numFmtId="9" fontId="5" fillId="0" borderId="0" xfId="0" applyNumberFormat="1" applyFont="1"/>
    <xf numFmtId="164" fontId="5" fillId="0" borderId="0" xfId="0" applyNumberFormat="1" applyFont="1"/>
    <xf numFmtId="9" fontId="5" fillId="2" borderId="0" xfId="0" applyNumberFormat="1" applyFont="1" applyFill="1"/>
    <xf numFmtId="0" fontId="6" fillId="0" borderId="0" xfId="0" applyFont="1"/>
    <xf numFmtId="0" fontId="7" fillId="0" borderId="0" xfId="0" applyFont="1" applyAlignment="1">
      <alignment wrapText="1"/>
    </xf>
    <xf numFmtId="14" fontId="0" fillId="0" borderId="0" xfId="0" applyNumberFormat="1"/>
    <xf numFmtId="0" fontId="8" fillId="0" borderId="0" xfId="0" applyFont="1" applyAlignment="1">
      <alignment wrapText="1"/>
    </xf>
    <xf numFmtId="164" fontId="0" fillId="0" borderId="0" xfId="0" applyNumberFormat="1" applyFill="1"/>
    <xf numFmtId="165" fontId="0" fillId="0" borderId="0" xfId="0" applyNumberFormat="1"/>
    <xf numFmtId="0" fontId="0" fillId="0" borderId="0" xfId="0" pivotButton="1" applyAlignment="1">
      <alignment wrapText="1"/>
    </xf>
    <xf numFmtId="0" fontId="0" fillId="0" borderId="0" xfId="0" applyAlignment="1">
      <alignment wrapText="1"/>
    </xf>
    <xf numFmtId="0" fontId="1" fillId="0" borderId="0" xfId="0" applyFont="1" applyAlignment="1">
      <alignment wrapText="1"/>
    </xf>
    <xf numFmtId="0" fontId="9" fillId="0" borderId="0" xfId="0" applyFont="1"/>
    <xf numFmtId="165" fontId="9" fillId="0" borderId="0" xfId="0" applyNumberFormat="1" applyFont="1"/>
    <xf numFmtId="4" fontId="9" fillId="0" borderId="0" xfId="0" applyNumberFormat="1" applyFont="1"/>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cellXfs>
  <cellStyles count="4">
    <cellStyle name="Heading 1" xfId="1" builtinId="16" customBuiltin="1"/>
    <cellStyle name="Heading 2" xfId="2" builtinId="17" customBuiltin="1"/>
    <cellStyle name="Heading 3" xfId="3" builtinId="18" customBuiltin="1"/>
    <cellStyle name="Normal" xfId="0" builtinId="0" customBuiltin="1"/>
  </cellStyles>
  <dxfs count="60">
    <dxf>
      <alignment wrapText="1" readingOrder="0"/>
    </dxf>
    <dxf>
      <numFmt numFmtId="165" formatCode="&quot;$&quot;#,##0.00"/>
    </dxf>
    <dxf>
      <numFmt numFmtId="165" formatCode="&quot;$&quot;#,##0.00"/>
    </dxf>
    <dxf>
      <numFmt numFmtId="165" formatCode="&quot;$&quot;#,##0.00"/>
    </dxf>
    <dxf>
      <numFmt numFmtId="165" formatCode="&quot;$&quot;#,##0.00"/>
    </dxf>
    <dxf>
      <numFmt numFmtId="165" formatCode="&quot;$&quot;#,##0.00"/>
    </dxf>
    <dxf>
      <numFmt numFmtId="165" formatCode="&quot;$&quot;#,##0.00"/>
    </dxf>
    <dxf>
      <alignment wrapText="1" readingOrder="0"/>
    </dxf>
    <dxf>
      <alignment wrapText="1" readingOrder="0"/>
    </dxf>
    <dxf>
      <font>
        <b val="0"/>
        <i val="0"/>
        <strike val="0"/>
        <condense val="0"/>
        <extend val="0"/>
        <outline val="0"/>
        <shadow val="0"/>
        <u val="none"/>
        <vertAlign val="baseline"/>
        <sz val="11"/>
        <color theme="1"/>
        <name val="Cambria"/>
        <scheme val="minor"/>
      </font>
    </dxf>
    <dxf>
      <numFmt numFmtId="164" formatCode="&quot;$&quot;#,##0"/>
    </dxf>
    <dxf>
      <font>
        <b val="0"/>
        <i val="0"/>
        <strike val="0"/>
        <condense val="0"/>
        <extend val="0"/>
        <outline val="0"/>
        <shadow val="0"/>
        <u val="none"/>
        <vertAlign val="baseline"/>
        <sz val="11"/>
        <color theme="1"/>
        <name val="Cambria"/>
        <scheme val="minor"/>
      </font>
    </dxf>
    <dxf>
      <numFmt numFmtId="164" formatCode="&quot;$&quot;#,##0"/>
    </dxf>
    <dxf>
      <font>
        <b val="0"/>
        <i val="0"/>
        <strike val="0"/>
        <condense val="0"/>
        <extend val="0"/>
        <outline val="0"/>
        <shadow val="0"/>
        <u val="none"/>
        <vertAlign val="baseline"/>
        <sz val="11"/>
        <color theme="1"/>
        <name val="Cambria"/>
        <scheme val="minor"/>
      </font>
    </dxf>
    <dxf>
      <numFmt numFmtId="164" formatCode="&quot;$&quot;#,##0"/>
    </dxf>
    <dxf>
      <font>
        <b val="0"/>
        <i val="0"/>
        <strike val="0"/>
        <condense val="0"/>
        <extend val="0"/>
        <outline val="0"/>
        <shadow val="0"/>
        <u val="none"/>
        <vertAlign val="baseline"/>
        <sz val="11"/>
        <color theme="1"/>
        <name val="Cambria"/>
        <scheme val="minor"/>
      </font>
    </dxf>
    <dxf>
      <numFmt numFmtId="164" formatCode="&quot;$&quot;#,##0"/>
    </dxf>
    <dxf>
      <font>
        <b val="0"/>
        <i val="0"/>
        <strike val="0"/>
        <condense val="0"/>
        <extend val="0"/>
        <outline val="0"/>
        <shadow val="0"/>
        <u val="none"/>
        <vertAlign val="baseline"/>
        <sz val="11"/>
        <color theme="1"/>
        <name val="Cambria"/>
        <scheme val="minor"/>
      </font>
    </dxf>
    <dxf>
      <numFmt numFmtId="164" formatCode="&quot;$&quot;#,##0"/>
    </dxf>
    <dxf>
      <font>
        <b val="0"/>
        <i val="0"/>
        <strike val="0"/>
        <condense val="0"/>
        <extend val="0"/>
        <outline val="0"/>
        <shadow val="0"/>
        <u val="none"/>
        <vertAlign val="baseline"/>
        <sz val="11"/>
        <color theme="1"/>
        <name val="Cambria"/>
        <scheme val="minor"/>
      </font>
    </dxf>
    <dxf>
      <numFmt numFmtId="164" formatCode="&quot;$&quot;#,##0"/>
    </dxf>
    <dxf>
      <font>
        <b val="0"/>
        <i val="0"/>
        <strike val="0"/>
        <condense val="0"/>
        <extend val="0"/>
        <outline val="0"/>
        <shadow val="0"/>
        <u val="none"/>
        <vertAlign val="baseline"/>
        <sz val="11"/>
        <color theme="1"/>
        <name val="Cambria"/>
        <scheme val="minor"/>
      </font>
    </dxf>
    <dxf>
      <numFmt numFmtId="164" formatCode="&quot;$&quot;#,##0"/>
    </dxf>
    <dxf>
      <font>
        <b val="0"/>
        <i val="0"/>
        <strike val="0"/>
        <condense val="0"/>
        <extend val="0"/>
        <outline val="0"/>
        <shadow val="0"/>
        <u val="none"/>
        <vertAlign val="baseline"/>
        <sz val="11"/>
        <color theme="1"/>
        <name val="Cambria"/>
        <scheme val="minor"/>
      </font>
    </dxf>
    <dxf>
      <numFmt numFmtId="164" formatCode="&quot;$&quot;#,##0"/>
    </dxf>
    <dxf>
      <font>
        <b val="0"/>
        <i val="0"/>
        <strike val="0"/>
        <condense val="0"/>
        <extend val="0"/>
        <outline val="0"/>
        <shadow val="0"/>
        <u val="none"/>
        <vertAlign val="baseline"/>
        <sz val="11"/>
        <color theme="1"/>
        <name val="Cambria"/>
        <scheme val="minor"/>
      </font>
    </dxf>
    <dxf>
      <numFmt numFmtId="164" formatCode="&quot;$&quot;#,##0"/>
    </dxf>
    <dxf>
      <font>
        <b val="0"/>
        <i val="0"/>
        <strike val="0"/>
        <condense val="0"/>
        <extend val="0"/>
        <outline val="0"/>
        <shadow val="0"/>
        <u val="none"/>
        <vertAlign val="baseline"/>
        <sz val="11"/>
        <color theme="1"/>
        <name val="Cambria"/>
        <scheme val="minor"/>
      </font>
    </dxf>
    <dxf>
      <numFmt numFmtId="164" formatCode="&quot;$&quot;#,##0"/>
    </dxf>
    <dxf>
      <font>
        <b val="0"/>
        <i val="0"/>
        <strike val="0"/>
        <condense val="0"/>
        <extend val="0"/>
        <outline val="0"/>
        <shadow val="0"/>
        <u val="none"/>
        <vertAlign val="baseline"/>
        <sz val="11"/>
        <color theme="1"/>
        <name val="Cambria"/>
        <scheme val="minor"/>
      </font>
    </dxf>
    <dxf>
      <numFmt numFmtId="164" formatCode="&quot;$&quot;#,##0"/>
    </dxf>
    <dxf>
      <font>
        <b val="0"/>
        <i val="0"/>
        <strike val="0"/>
        <condense val="0"/>
        <extend val="0"/>
        <outline val="0"/>
        <shadow val="0"/>
        <u val="none"/>
        <vertAlign val="baseline"/>
        <sz val="11"/>
        <color theme="1"/>
        <name val="Cambria"/>
        <scheme val="minor"/>
      </font>
    </dxf>
    <dxf>
      <numFmt numFmtId="164" formatCode="&quot;$&quot;#,##0"/>
    </dxf>
    <dxf>
      <font>
        <b val="0"/>
        <i val="0"/>
        <strike val="0"/>
        <condense val="0"/>
        <extend val="0"/>
        <outline val="0"/>
        <shadow val="0"/>
        <u val="none"/>
        <vertAlign val="baseline"/>
        <sz val="11"/>
        <color theme="1"/>
        <name val="Cambria"/>
        <scheme val="minor"/>
      </font>
    </dxf>
    <dxf>
      <numFmt numFmtId="0" formatCode="General"/>
    </dxf>
    <dxf>
      <font>
        <b val="0"/>
        <i val="0"/>
        <strike val="0"/>
        <condense val="0"/>
        <extend val="0"/>
        <outline val="0"/>
        <shadow val="0"/>
        <u val="none"/>
        <vertAlign val="baseline"/>
        <sz val="11"/>
        <color theme="1"/>
        <name val="Cambria"/>
        <scheme val="minor"/>
      </font>
    </dxf>
    <dxf>
      <numFmt numFmtId="0" formatCode="General"/>
    </dxf>
    <dxf>
      <font>
        <b val="0"/>
        <i val="0"/>
        <strike val="0"/>
        <condense val="0"/>
        <extend val="0"/>
        <outline val="0"/>
        <shadow val="0"/>
        <u val="none"/>
        <vertAlign val="baseline"/>
        <sz val="11"/>
        <color theme="1"/>
        <name val="Cambria"/>
        <scheme val="minor"/>
      </font>
    </dxf>
    <dxf>
      <font>
        <b val="0"/>
        <i val="0"/>
        <strike val="0"/>
        <condense val="0"/>
        <extend val="0"/>
        <outline val="0"/>
        <shadow val="0"/>
        <u val="none"/>
        <vertAlign val="baseline"/>
        <sz val="11"/>
        <color theme="1"/>
        <name val="Cambria"/>
        <scheme val="minor"/>
      </font>
    </dxf>
    <dxf>
      <font>
        <b val="0"/>
        <i val="0"/>
        <strike val="0"/>
        <condense val="0"/>
        <extend val="0"/>
        <outline val="0"/>
        <shadow val="0"/>
        <u val="none"/>
        <vertAlign val="baseline"/>
        <sz val="11"/>
        <color theme="1"/>
        <name val="Cambria"/>
        <scheme val="minor"/>
      </font>
    </dxf>
    <dxf>
      <numFmt numFmtId="166" formatCode="m/d/yyyy"/>
    </dxf>
    <dxf>
      <font>
        <b val="0"/>
        <i val="0"/>
        <strike val="0"/>
        <condense val="0"/>
        <extend val="0"/>
        <outline val="0"/>
        <shadow val="0"/>
        <u val="none"/>
        <vertAlign val="baseline"/>
        <sz val="11"/>
        <color theme="1"/>
        <name val="Cambria"/>
        <scheme val="minor"/>
      </font>
    </dxf>
    <dxf>
      <numFmt numFmtId="166" formatCode="m/d/yyyy"/>
    </dxf>
    <dxf>
      <font>
        <b val="0"/>
        <i val="0"/>
        <strike val="0"/>
        <condense val="0"/>
        <extend val="0"/>
        <outline val="0"/>
        <shadow val="0"/>
        <u val="none"/>
        <vertAlign val="baseline"/>
        <sz val="11"/>
        <color theme="1"/>
        <name val="Cambria"/>
        <scheme val="minor"/>
      </font>
    </dxf>
    <dxf>
      <numFmt numFmtId="166" formatCode="m/d/yyyy"/>
    </dxf>
    <dxf>
      <font>
        <b val="0"/>
        <i val="0"/>
        <strike val="0"/>
        <condense val="0"/>
        <extend val="0"/>
        <outline val="0"/>
        <shadow val="0"/>
        <u val="none"/>
        <vertAlign val="baseline"/>
        <sz val="11"/>
        <color theme="1"/>
        <name val="Cambria"/>
        <scheme val="minor"/>
      </font>
    </dxf>
    <dxf>
      <numFmt numFmtId="166" formatCode="m/d/yyyy"/>
    </dxf>
    <dxf>
      <font>
        <b val="0"/>
        <i val="0"/>
        <strike val="0"/>
        <condense val="0"/>
        <extend val="0"/>
        <outline val="0"/>
        <shadow val="0"/>
        <u val="none"/>
        <vertAlign val="baseline"/>
        <sz val="11"/>
        <color theme="1"/>
        <name val="Cambria"/>
        <scheme val="minor"/>
      </font>
    </dxf>
    <dxf>
      <font>
        <b val="0"/>
        <i val="0"/>
        <strike val="0"/>
        <condense val="0"/>
        <extend val="0"/>
        <outline val="0"/>
        <shadow val="0"/>
        <u val="none"/>
        <vertAlign val="baseline"/>
        <sz val="11"/>
        <color theme="1"/>
        <name val="Cambria"/>
        <scheme val="minor"/>
      </font>
    </dxf>
    <dxf>
      <font>
        <b val="0"/>
        <i val="0"/>
        <strike val="0"/>
        <condense val="0"/>
        <extend val="0"/>
        <outline val="0"/>
        <shadow val="0"/>
        <u val="none"/>
        <vertAlign val="baseline"/>
        <sz val="10"/>
        <color theme="1"/>
        <name val="Tahoma"/>
        <scheme val="maj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mbria"/>
        <scheme val="minor"/>
      </font>
      <numFmt numFmtId="13" formatCode="0%"/>
      <fill>
        <patternFill patternType="solid">
          <fgColor indexed="64"/>
          <bgColor theme="0" tint="-0.14996795556505021"/>
        </patternFill>
      </fill>
    </dxf>
    <dxf>
      <font>
        <b val="0"/>
        <i val="0"/>
        <strike val="0"/>
        <condense val="0"/>
        <extend val="0"/>
        <outline val="0"/>
        <shadow val="0"/>
        <u val="none"/>
        <vertAlign val="baseline"/>
        <sz val="11"/>
        <color theme="1"/>
        <name val="Cambria"/>
        <scheme val="minor"/>
      </font>
      <numFmt numFmtId="13" formatCode="0%"/>
    </dxf>
    <dxf>
      <font>
        <b val="0"/>
        <i val="0"/>
        <strike val="0"/>
        <condense val="0"/>
        <extend val="0"/>
        <outline val="0"/>
        <shadow val="0"/>
        <u val="none"/>
        <vertAlign val="baseline"/>
        <sz val="11"/>
        <color theme="1"/>
        <name val="Cambria"/>
        <scheme val="minor"/>
      </font>
      <numFmt numFmtId="13" formatCode="0%"/>
    </dxf>
    <dxf>
      <font>
        <b val="0"/>
        <i val="0"/>
        <strike val="0"/>
        <condense val="0"/>
        <extend val="0"/>
        <outline val="0"/>
        <shadow val="0"/>
        <u val="none"/>
        <vertAlign val="baseline"/>
        <sz val="11"/>
        <color theme="1"/>
        <name val="Cambria"/>
        <scheme val="minor"/>
      </font>
      <numFmt numFmtId="13" formatCode="0%"/>
    </dxf>
    <dxf>
      <font>
        <b val="0"/>
        <i val="0"/>
        <strike val="0"/>
        <condense val="0"/>
        <extend val="0"/>
        <outline val="0"/>
        <shadow val="0"/>
        <u val="none"/>
        <vertAlign val="baseline"/>
        <sz val="11"/>
        <color theme="1"/>
        <name val="Cambria"/>
        <scheme val="minor"/>
      </font>
      <numFmt numFmtId="13" formatCode="0%"/>
    </dxf>
    <dxf>
      <font>
        <b val="0"/>
        <i val="0"/>
        <strike val="0"/>
        <condense val="0"/>
        <extend val="0"/>
        <outline val="0"/>
        <shadow val="0"/>
        <u val="none"/>
        <vertAlign val="baseline"/>
        <sz val="11"/>
        <color theme="1"/>
        <name val="Cambria"/>
        <scheme val="minor"/>
      </font>
      <numFmt numFmtId="13" formatCode="0%"/>
    </dxf>
    <dxf>
      <font>
        <b val="0"/>
        <i val="0"/>
        <strike val="0"/>
        <condense val="0"/>
        <extend val="0"/>
        <outline val="0"/>
        <shadow val="0"/>
        <u val="none"/>
        <vertAlign val="baseline"/>
        <sz val="11"/>
        <color theme="1"/>
        <name val="Cambria"/>
        <scheme val="minor"/>
      </font>
      <numFmt numFmtId="13" formatCode="0%"/>
    </dxf>
    <dxf>
      <font>
        <b val="0"/>
        <i val="0"/>
        <strike val="0"/>
        <condense val="0"/>
        <extend val="0"/>
        <outline val="0"/>
        <shadow val="0"/>
        <u val="none"/>
        <vertAlign val="baseline"/>
        <sz val="11"/>
        <color theme="1"/>
        <name val="Cambria"/>
        <scheme val="minor"/>
      </font>
    </dxf>
    <dxf>
      <font>
        <b val="0"/>
        <i val="0"/>
        <strike val="0"/>
        <condense val="0"/>
        <extend val="0"/>
        <outline val="0"/>
        <shadow val="0"/>
        <u val="none"/>
        <vertAlign val="baseline"/>
        <sz val="11"/>
        <color theme="1"/>
        <name val="Cambria"/>
        <scheme val="minor"/>
      </font>
    </dxf>
    <dxf>
      <alignment horizontal="general" vertical="bottom" textRotation="0" wrapText="1" indent="0" justifyLastLine="0" shrinkToFit="0" readingOrder="0"/>
    </dxf>
  </dxfs>
  <tableStyles count="0" defaultTableStyle="TableStyleMedium3"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en-US"/>
              <a:t>PLANNED vs. ACTUAL COST</a:t>
            </a:r>
          </a:p>
        </c:rich>
      </c:tx>
      <c:layout/>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tr-TR"/>
        </a:p>
      </c:txPr>
    </c:title>
    <c:autoTitleDeleted val="0"/>
    <c:plotArea>
      <c:layout/>
      <c:barChart>
        <c:barDir val="col"/>
        <c:grouping val="clustered"/>
        <c:varyColors val="0"/>
        <c:ser>
          <c:idx val="0"/>
          <c:order val="0"/>
          <c:tx>
            <c:strRef>
              <c:f>'PROJECT PARAMETERS'!$B$18</c:f>
              <c:strCache>
                <c:ptCount val="1"/>
                <c:pt idx="0">
                  <c:v>PLANNED COST</c:v>
                </c:pt>
              </c:strCache>
            </c:strRef>
          </c:tx>
          <c:spPr>
            <a:solidFill>
              <a:schemeClr val="accent1"/>
            </a:solidFill>
            <a:ln>
              <a:noFill/>
            </a:ln>
            <a:effectLst/>
          </c:spPr>
          <c:invertIfNegative val="0"/>
          <c:cat>
            <c:strRef>
              <c:f>'PROJECT PARAMETERS'!$C$17:$H$17</c:f>
              <c:strCache>
                <c:ptCount val="6"/>
                <c:pt idx="0">
                  <c:v>ACCOUNT MANAGER</c:v>
                </c:pt>
                <c:pt idx="1">
                  <c:v>PROJECT MANAGER</c:v>
                </c:pt>
                <c:pt idx="2">
                  <c:v>STRATEGY MANAGER</c:v>
                </c:pt>
                <c:pt idx="3">
                  <c:v>DESIGN SPECIALIST</c:v>
                </c:pt>
                <c:pt idx="4">
                  <c:v>EVENT STAFF</c:v>
                </c:pt>
                <c:pt idx="5">
                  <c:v>ADMIN STAFF</c:v>
                </c:pt>
              </c:strCache>
            </c:strRef>
          </c:cat>
          <c:val>
            <c:numRef>
              <c:f>'PROJECT PARAMETERS'!$C$18:$H$18</c:f>
              <c:numCache>
                <c:formatCode>"$"#,##0.00</c:formatCode>
                <c:ptCount val="6"/>
                <c:pt idx="0">
                  <c:v>272340</c:v>
                </c:pt>
                <c:pt idx="1">
                  <c:v>319320</c:v>
                </c:pt>
                <c:pt idx="2">
                  <c:v>123450</c:v>
                </c:pt>
                <c:pt idx="3">
                  <c:v>106000</c:v>
                </c:pt>
                <c:pt idx="4">
                  <c:v>49320</c:v>
                </c:pt>
                <c:pt idx="5">
                  <c:v>53490</c:v>
                </c:pt>
              </c:numCache>
            </c:numRef>
          </c:val>
        </c:ser>
        <c:ser>
          <c:idx val="1"/>
          <c:order val="1"/>
          <c:tx>
            <c:strRef>
              <c:f>'PROJECT PARAMETERS'!$B$19</c:f>
              <c:strCache>
                <c:ptCount val="1"/>
                <c:pt idx="0">
                  <c:v>ACTUAL COST</c:v>
                </c:pt>
              </c:strCache>
            </c:strRef>
          </c:tx>
          <c:spPr>
            <a:solidFill>
              <a:schemeClr val="accent2"/>
            </a:solidFill>
            <a:ln>
              <a:noFill/>
            </a:ln>
            <a:effectLst/>
          </c:spPr>
          <c:invertIfNegative val="0"/>
          <c:cat>
            <c:strRef>
              <c:f>'PROJECT PARAMETERS'!$C$17:$H$17</c:f>
              <c:strCache>
                <c:ptCount val="6"/>
                <c:pt idx="0">
                  <c:v>ACCOUNT MANAGER</c:v>
                </c:pt>
                <c:pt idx="1">
                  <c:v>PROJECT MANAGER</c:v>
                </c:pt>
                <c:pt idx="2">
                  <c:v>STRATEGY MANAGER</c:v>
                </c:pt>
                <c:pt idx="3">
                  <c:v>DESIGN SPECIALIST</c:v>
                </c:pt>
                <c:pt idx="4">
                  <c:v>EVENT STAFF</c:v>
                </c:pt>
                <c:pt idx="5">
                  <c:v>ADMIN STAFF</c:v>
                </c:pt>
              </c:strCache>
            </c:strRef>
          </c:cat>
          <c:val>
            <c:numRef>
              <c:f>'PROJECT PARAMETERS'!$C$19:$H$19</c:f>
              <c:numCache>
                <c:formatCode>"$"#,##0.00</c:formatCode>
                <c:ptCount val="6"/>
                <c:pt idx="0">
                  <c:v>273960</c:v>
                </c:pt>
                <c:pt idx="1">
                  <c:v>324540</c:v>
                </c:pt>
                <c:pt idx="2">
                  <c:v>126150</c:v>
                </c:pt>
                <c:pt idx="3">
                  <c:v>104950</c:v>
                </c:pt>
                <c:pt idx="4">
                  <c:v>48160</c:v>
                </c:pt>
                <c:pt idx="5">
                  <c:v>53460</c:v>
                </c:pt>
              </c:numCache>
            </c:numRef>
          </c:val>
        </c:ser>
        <c:dLbls>
          <c:showLegendKey val="0"/>
          <c:showVal val="0"/>
          <c:showCatName val="0"/>
          <c:showSerName val="0"/>
          <c:showPercent val="0"/>
          <c:showBubbleSize val="0"/>
        </c:dLbls>
        <c:gapWidth val="199"/>
        <c:axId val="310819160"/>
        <c:axId val="310817592"/>
      </c:barChart>
      <c:catAx>
        <c:axId val="310819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tr-TR"/>
          </a:p>
        </c:txPr>
        <c:crossAx val="310817592"/>
        <c:crosses val="autoZero"/>
        <c:auto val="1"/>
        <c:lblAlgn val="ctr"/>
        <c:lblOffset val="100"/>
        <c:noMultiLvlLbl val="0"/>
      </c:catAx>
      <c:valAx>
        <c:axId val="310817592"/>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310819160"/>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en-US"/>
              <a:t>PLANNED vs. ACTUAL HOURS</a:t>
            </a:r>
          </a:p>
        </c:rich>
      </c:tx>
      <c:layout/>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tr-TR"/>
        </a:p>
      </c:txPr>
    </c:title>
    <c:autoTitleDeleted val="0"/>
    <c:plotArea>
      <c:layout/>
      <c:barChart>
        <c:barDir val="col"/>
        <c:grouping val="clustered"/>
        <c:varyColors val="0"/>
        <c:ser>
          <c:idx val="0"/>
          <c:order val="0"/>
          <c:tx>
            <c:strRef>
              <c:f>'PROJECT PARAMETERS'!$B$20</c:f>
              <c:strCache>
                <c:ptCount val="1"/>
                <c:pt idx="0">
                  <c:v>PLANNED HOURS</c:v>
                </c:pt>
              </c:strCache>
            </c:strRef>
          </c:tx>
          <c:spPr>
            <a:solidFill>
              <a:schemeClr val="accent1"/>
            </a:solidFill>
            <a:ln>
              <a:noFill/>
            </a:ln>
            <a:effectLst/>
          </c:spPr>
          <c:invertIfNegative val="0"/>
          <c:cat>
            <c:strRef>
              <c:f>'PROJECT PARAMETERS'!$C$17:$H$17</c:f>
              <c:strCache>
                <c:ptCount val="6"/>
                <c:pt idx="0">
                  <c:v>ACCOUNT MANAGER</c:v>
                </c:pt>
                <c:pt idx="1">
                  <c:v>PROJECT MANAGER</c:v>
                </c:pt>
                <c:pt idx="2">
                  <c:v>STRATEGY MANAGER</c:v>
                </c:pt>
                <c:pt idx="3">
                  <c:v>DESIGN SPECIALIST</c:v>
                </c:pt>
                <c:pt idx="4">
                  <c:v>EVENT STAFF</c:v>
                </c:pt>
                <c:pt idx="5">
                  <c:v>ADMIN STAFF</c:v>
                </c:pt>
              </c:strCache>
            </c:strRef>
          </c:cat>
          <c:val>
            <c:numRef>
              <c:f>'PROJECT PARAMETERS'!$C$20:$H$20</c:f>
              <c:numCache>
                <c:formatCode>#,##0.00</c:formatCode>
                <c:ptCount val="6"/>
                <c:pt idx="0">
                  <c:v>1513</c:v>
                </c:pt>
                <c:pt idx="1">
                  <c:v>1774</c:v>
                </c:pt>
                <c:pt idx="2">
                  <c:v>685.83333333333337</c:v>
                </c:pt>
                <c:pt idx="3">
                  <c:v>588.88888888888891</c:v>
                </c:pt>
                <c:pt idx="4">
                  <c:v>274</c:v>
                </c:pt>
                <c:pt idx="5">
                  <c:v>297.16666666666669</c:v>
                </c:pt>
              </c:numCache>
            </c:numRef>
          </c:val>
        </c:ser>
        <c:ser>
          <c:idx val="1"/>
          <c:order val="1"/>
          <c:tx>
            <c:strRef>
              <c:f>'PROJECT PARAMETERS'!$B$21</c:f>
              <c:strCache>
                <c:ptCount val="1"/>
                <c:pt idx="0">
                  <c:v>ACTUAL HOURS</c:v>
                </c:pt>
              </c:strCache>
            </c:strRef>
          </c:tx>
          <c:spPr>
            <a:solidFill>
              <a:schemeClr val="accent2"/>
            </a:solidFill>
            <a:ln>
              <a:noFill/>
            </a:ln>
            <a:effectLst/>
          </c:spPr>
          <c:invertIfNegative val="0"/>
          <c:cat>
            <c:strRef>
              <c:f>'PROJECT PARAMETERS'!$C$17:$H$17</c:f>
              <c:strCache>
                <c:ptCount val="6"/>
                <c:pt idx="0">
                  <c:v>ACCOUNT MANAGER</c:v>
                </c:pt>
                <c:pt idx="1">
                  <c:v>PROJECT MANAGER</c:v>
                </c:pt>
                <c:pt idx="2">
                  <c:v>STRATEGY MANAGER</c:v>
                </c:pt>
                <c:pt idx="3">
                  <c:v>DESIGN SPECIALIST</c:v>
                </c:pt>
                <c:pt idx="4">
                  <c:v>EVENT STAFF</c:v>
                </c:pt>
                <c:pt idx="5">
                  <c:v>ADMIN STAFF</c:v>
                </c:pt>
              </c:strCache>
            </c:strRef>
          </c:cat>
          <c:val>
            <c:numRef>
              <c:f>'PROJECT PARAMETERS'!$C$21:$H$21</c:f>
              <c:numCache>
                <c:formatCode>#,##0.00</c:formatCode>
                <c:ptCount val="6"/>
                <c:pt idx="0">
                  <c:v>1522</c:v>
                </c:pt>
                <c:pt idx="1">
                  <c:v>1803</c:v>
                </c:pt>
                <c:pt idx="2">
                  <c:v>700.83333333333337</c:v>
                </c:pt>
                <c:pt idx="3">
                  <c:v>583.05555555555554</c:v>
                </c:pt>
                <c:pt idx="4">
                  <c:v>267.55555555555554</c:v>
                </c:pt>
                <c:pt idx="5">
                  <c:v>297</c:v>
                </c:pt>
              </c:numCache>
            </c:numRef>
          </c:val>
        </c:ser>
        <c:dLbls>
          <c:showLegendKey val="0"/>
          <c:showVal val="0"/>
          <c:showCatName val="0"/>
          <c:showSerName val="0"/>
          <c:showPercent val="0"/>
          <c:showBubbleSize val="0"/>
        </c:dLbls>
        <c:gapWidth val="199"/>
        <c:axId val="310819944"/>
        <c:axId val="310820336"/>
      </c:barChart>
      <c:catAx>
        <c:axId val="310819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tr-TR"/>
          </a:p>
        </c:txPr>
        <c:crossAx val="310820336"/>
        <c:crosses val="autoZero"/>
        <c:auto val="1"/>
        <c:lblAlgn val="ctr"/>
        <c:lblOffset val="100"/>
        <c:noMultiLvlLbl val="0"/>
      </c:catAx>
      <c:valAx>
        <c:axId val="31082033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31081994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180974</xdr:rowOff>
    </xdr:from>
    <xdr:to>
      <xdr:col>4</xdr:col>
      <xdr:colOff>238125</xdr:colOff>
      <xdr:row>44</xdr:row>
      <xdr:rowOff>76200</xdr:rowOff>
    </xdr:to>
    <xdr:graphicFrame macro="">
      <xdr:nvGraphicFramePr>
        <xdr:cNvPr id="7" name="Chart 6" descr="Column chart showing planned versus actual cost." title="Cost 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381000</xdr:colOff>
      <xdr:row>14</xdr:row>
      <xdr:rowOff>180974</xdr:rowOff>
    </xdr:from>
    <xdr:to>
      <xdr:col>8</xdr:col>
      <xdr:colOff>495300</xdr:colOff>
      <xdr:row>44</xdr:row>
      <xdr:rowOff>76200</xdr:rowOff>
    </xdr:to>
    <xdr:graphicFrame macro="">
      <xdr:nvGraphicFramePr>
        <xdr:cNvPr id="8" name="Chart 7" descr="Column chart showing planned versus actual hours." title="Hours 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24</xdr:col>
      <xdr:colOff>0</xdr:colOff>
      <xdr:row>5</xdr:row>
      <xdr:rowOff>0</xdr:rowOff>
    </xdr:from>
    <xdr:to>
      <xdr:col>28</xdr:col>
      <xdr:colOff>590550</xdr:colOff>
      <xdr:row>20</xdr:row>
      <xdr:rowOff>85726</xdr:rowOff>
    </xdr:to>
    <xdr:sp macro="" textlink="">
      <xdr:nvSpPr>
        <xdr:cNvPr id="2" name="Rectangle 1" title="Info"/>
        <xdr:cNvSpPr/>
      </xdr:nvSpPr>
      <xdr:spPr>
        <a:xfrm>
          <a:off x="9906000" y="1066800"/>
          <a:ext cx="3028950" cy="2943226"/>
        </a:xfrm>
        <a:prstGeom prst="rect">
          <a:avLst/>
        </a:prstGeom>
        <a:solidFill>
          <a:schemeClr val="accent2">
            <a:lumMod val="20000"/>
            <a:lumOff val="80000"/>
          </a:schemeClr>
        </a:solidFill>
        <a:ln w="19050">
          <a:solidFill>
            <a:schemeClr val="accent2"/>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800">
              <a:solidFill>
                <a:schemeClr val="tx1">
                  <a:lumMod val="65000"/>
                  <a:lumOff val="35000"/>
                </a:schemeClr>
              </a:solidFill>
              <a:latin typeface="+mj-lt"/>
            </a:rPr>
            <a:t>INFO</a:t>
          </a:r>
        </a:p>
        <a:p>
          <a:pPr algn="l"/>
          <a:endParaRPr lang="en-US" sz="1100">
            <a:solidFill>
              <a:schemeClr val="tx1">
                <a:lumMod val="65000"/>
                <a:lumOff val="35000"/>
              </a:schemeClr>
            </a:solidFill>
          </a:endParaRPr>
        </a:p>
        <a:p>
          <a:pPr algn="l"/>
          <a:r>
            <a:rPr lang="en-US" sz="1100">
              <a:solidFill>
                <a:schemeClr val="tx1">
                  <a:lumMod val="65000"/>
                  <a:lumOff val="35000"/>
                </a:schemeClr>
              </a:solidFill>
            </a:rPr>
            <a:t>To add a row, select</a:t>
          </a:r>
          <a:r>
            <a:rPr lang="en-US" sz="1100" baseline="0">
              <a:solidFill>
                <a:schemeClr val="tx1">
                  <a:lumMod val="65000"/>
                  <a:lumOff val="35000"/>
                </a:schemeClr>
              </a:solidFill>
            </a:rPr>
            <a:t> the bottom-right most cell in the body of the table (not the totals row) and press Tab, or right-click where you want the row inserted and select Insert | Table Rows Above/Below.</a:t>
          </a:r>
        </a:p>
        <a:p>
          <a:pPr algn="l"/>
          <a:endParaRPr lang="en-US" sz="1100" baseline="0">
            <a:solidFill>
              <a:schemeClr val="tx1">
                <a:lumMod val="65000"/>
                <a:lumOff val="35000"/>
              </a:schemeClr>
            </a:solidFill>
          </a:endParaRPr>
        </a:p>
        <a:p>
          <a:pPr algn="l"/>
          <a:r>
            <a:rPr lang="en-US" sz="1100" baseline="0">
              <a:solidFill>
                <a:schemeClr val="tx1">
                  <a:lumMod val="65000"/>
                  <a:lumOff val="35000"/>
                </a:schemeClr>
              </a:solidFill>
            </a:rPr>
            <a:t>Be sure all unused rows are deleted, as the PROJECT TOTALS PivotTable will use all of the tables cells, and otherwise would give erroneous results.</a:t>
          </a:r>
        </a:p>
        <a:p>
          <a:pPr algn="l"/>
          <a:endParaRPr lang="en-US" sz="1100" baseline="0">
            <a:solidFill>
              <a:schemeClr val="tx1">
                <a:lumMod val="65000"/>
                <a:lumOff val="35000"/>
              </a:schemeClr>
            </a:solidFill>
          </a:endParaRPr>
        </a:p>
        <a:p>
          <a:pPr algn="l"/>
          <a:r>
            <a:rPr lang="en-US" sz="1100" baseline="0">
              <a:solidFill>
                <a:schemeClr val="tx1">
                  <a:lumMod val="65000"/>
                  <a:lumOff val="35000"/>
                </a:schemeClr>
              </a:solidFill>
            </a:rPr>
            <a:t>To delete this info tip, select any edge and press Delete.</a:t>
          </a:r>
          <a:endParaRPr lang="en-US" sz="1100">
            <a:solidFill>
              <a:schemeClr val="tx1">
                <a:lumMod val="65000"/>
                <a:lumOff val="35000"/>
              </a:schemeClr>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5</xdr:row>
      <xdr:rowOff>0</xdr:rowOff>
    </xdr:from>
    <xdr:to>
      <xdr:col>19</xdr:col>
      <xdr:colOff>590550</xdr:colOff>
      <xdr:row>15</xdr:row>
      <xdr:rowOff>133350</xdr:rowOff>
    </xdr:to>
    <xdr:sp macro="" textlink="">
      <xdr:nvSpPr>
        <xdr:cNvPr id="2" name="Rectangle 1" title="Info"/>
        <xdr:cNvSpPr/>
      </xdr:nvSpPr>
      <xdr:spPr>
        <a:xfrm>
          <a:off x="11953875" y="1066800"/>
          <a:ext cx="3028950" cy="2247900"/>
        </a:xfrm>
        <a:prstGeom prst="rect">
          <a:avLst/>
        </a:prstGeom>
        <a:solidFill>
          <a:schemeClr val="accent2">
            <a:lumMod val="20000"/>
            <a:lumOff val="80000"/>
          </a:schemeClr>
        </a:solidFill>
        <a:ln w="19050">
          <a:solidFill>
            <a:schemeClr val="accent2">
              <a:lumMod val="7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800">
              <a:solidFill>
                <a:schemeClr val="tx1">
                  <a:lumMod val="65000"/>
                  <a:lumOff val="35000"/>
                </a:schemeClr>
              </a:solidFill>
              <a:latin typeface="+mj-lt"/>
            </a:rPr>
            <a:t>INFO</a:t>
          </a:r>
        </a:p>
        <a:p>
          <a:pPr algn="l"/>
          <a:endParaRPr lang="en-US" sz="1100">
            <a:solidFill>
              <a:schemeClr val="tx1">
                <a:lumMod val="65000"/>
                <a:lumOff val="35000"/>
              </a:schemeClr>
            </a:solidFill>
          </a:endParaRPr>
        </a:p>
        <a:p>
          <a:pPr algn="l"/>
          <a:r>
            <a:rPr lang="en-US" sz="1100">
              <a:solidFill>
                <a:schemeClr val="tx1">
                  <a:lumMod val="65000"/>
                  <a:lumOff val="35000"/>
                </a:schemeClr>
              </a:solidFill>
            </a:rPr>
            <a:t>This PivotTable will not refresh automatically.  To refresh it, select</a:t>
          </a:r>
          <a:r>
            <a:rPr lang="en-US" sz="1100" baseline="0">
              <a:solidFill>
                <a:schemeClr val="tx1">
                  <a:lumMod val="65000"/>
                  <a:lumOff val="35000"/>
                </a:schemeClr>
              </a:solidFill>
            </a:rPr>
            <a:t> it (any cell within the PivotTable), on the PIVOTTABLE TOOLS | ANALYZE ribbon tab press Refresh.  Or right-click any cell in the PivotTable and select Refresh.</a:t>
          </a:r>
        </a:p>
        <a:p>
          <a:pPr algn="l"/>
          <a:endParaRPr lang="en-US" sz="1100" baseline="0">
            <a:solidFill>
              <a:schemeClr val="tx1">
                <a:lumMod val="65000"/>
                <a:lumOff val="35000"/>
              </a:schemeClr>
            </a:solidFill>
          </a:endParaRPr>
        </a:p>
        <a:p>
          <a:pPr algn="l"/>
          <a:r>
            <a:rPr lang="en-US" sz="1100" baseline="0">
              <a:solidFill>
                <a:schemeClr val="tx1">
                  <a:lumMod val="65000"/>
                  <a:lumOff val="35000"/>
                </a:schemeClr>
              </a:solidFill>
            </a:rPr>
            <a:t>To delete this info tip, select any edge and press Delete.</a:t>
          </a:r>
          <a:endParaRPr lang="en-US" sz="1100">
            <a:solidFill>
              <a:schemeClr val="tx1">
                <a:lumMod val="65000"/>
                <a:lumOff val="35000"/>
              </a:schemeClr>
            </a:solidFill>
          </a:endParaRPr>
        </a:p>
      </xdr:txBody>
    </xdr:sp>
    <xdr:clientData fPrintsWithSheet="0"/>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 " refreshedDate="41478.43370775463" createdVersion="5" refreshedVersion="5" minRefreshableVersion="3" recordCount="22">
  <cacheSource type="worksheet">
    <worksheetSource name="tblDetails"/>
  </cacheSource>
  <cacheFields count="22">
    <cacheField name="PROJECT NAME" numFmtId="0">
      <sharedItems count="22">
        <s v="A. Datum Corporation"/>
        <s v="Adventure Works"/>
        <s v="Alpine Ski House"/>
        <s v="Baldwin Museum of Science"/>
        <s v="Blue Yonder Airlines"/>
        <s v="City Power &amp; Light"/>
        <s v="Coho Vineyard"/>
        <s v="Coho Winery"/>
        <s v="Coho Vineyard &amp; Winery"/>
        <s v="Contoso, Ltd."/>
        <s v="Contoso Pharmaceuticals"/>
        <s v="Consolidated Messenger"/>
        <s v="Fabrikam, Inc."/>
        <s v="Fourth Coffee"/>
        <s v="Graphic Design Institute"/>
        <s v="Humongous Insurance"/>
        <s v="Litware, Inc."/>
        <s v="Lucerne Publishing"/>
        <s v="Margie's Travel"/>
        <s v="Northwind Traders"/>
        <s v="Proseware, Inc."/>
        <s v="School of Fine Art"/>
      </sharedItems>
    </cacheField>
    <cacheField name="PROJECT TYPE" numFmtId="0">
      <sharedItems/>
    </cacheField>
    <cacheField name="ESTIMATED START" numFmtId="14">
      <sharedItems containsSemiMixedTypes="0" containsNonDate="0" containsDate="1" containsString="0" minDate="2013-06-09T00:00:00" maxDate="2014-04-10T00:00:00"/>
    </cacheField>
    <cacheField name="ESTIMATED FINISH" numFmtId="14">
      <sharedItems containsSemiMixedTypes="0" containsNonDate="0" containsDate="1" containsString="0" minDate="2013-07-27T00:00:00" maxDate="2014-05-26T00:00:00"/>
    </cacheField>
    <cacheField name="ACTUAL START" numFmtId="14">
      <sharedItems containsSemiMixedTypes="0" containsNonDate="0" containsDate="1" containsString="0" minDate="2013-06-29T00:00:00" maxDate="2014-05-19T00:00:00"/>
    </cacheField>
    <cacheField name="ACTUAL FINISH" numFmtId="14">
      <sharedItems containsSemiMixedTypes="0" containsNonDate="0" containsDate="1" containsString="0" minDate="2013-08-25T00:00:00" maxDate="2014-07-02T00:00:00"/>
    </cacheField>
    <cacheField name="ESTIMATED WORK" numFmtId="0">
      <sharedItems containsSemiMixedTypes="0" containsString="0" containsNumber="1" containsInteger="1" minValue="150" maxValue="750"/>
    </cacheField>
    <cacheField name="ACTUAL WORK" numFmtId="0">
      <sharedItems containsSemiMixedTypes="0" containsString="0" containsNumber="1" containsInteger="1" minValue="145" maxValue="790"/>
    </cacheField>
    <cacheField name="ESTIMATED DURATION" numFmtId="0">
      <sharedItems containsSemiMixedTypes="0" containsString="0" containsNumber="1" containsInteger="1" minValue="10" maxValue="207"/>
    </cacheField>
    <cacheField name="ACTUAL DURATION" numFmtId="0">
      <sharedItems containsSemiMixedTypes="0" containsString="0" containsNumber="1" containsInteger="1" minValue="-13" maxValue="209"/>
    </cacheField>
    <cacheField name="ACCOUNT MANAGER" numFmtId="164">
      <sharedItems containsSemiMixedTypes="0" containsString="0" containsNumber="1" containsInteger="1" minValue="5400" maxValue="27000"/>
    </cacheField>
    <cacheField name="PROJECT MANAGER" numFmtId="164">
      <sharedItems containsSemiMixedTypes="0" containsString="0" containsNumber="1" containsInteger="1" minValue="2160" maxValue="54000"/>
    </cacheField>
    <cacheField name="STRATEGY MANAGER" numFmtId="164">
      <sharedItems containsSemiMixedTypes="0" containsString="0" containsNumber="1" containsInteger="1" minValue="0" maxValue="18000"/>
    </cacheField>
    <cacheField name="DESIGN SPECIALIST" numFmtId="164">
      <sharedItems containsSemiMixedTypes="0" containsString="0" containsNumber="1" containsInteger="1" minValue="0" maxValue="25000"/>
    </cacheField>
    <cacheField name="EVENT STAFF" numFmtId="164">
      <sharedItems containsSemiMixedTypes="0" containsString="0" containsNumber="1" containsInteger="1" minValue="0" maxValue="12000"/>
    </cacheField>
    <cacheField name="ADMIN STAFF" numFmtId="164">
      <sharedItems containsSemiMixedTypes="0" containsString="0" containsNumber="1" containsInteger="1" minValue="900" maxValue="7200"/>
    </cacheField>
    <cacheField name="ACCOUNT MANAGER " numFmtId="164">
      <sharedItems containsSemiMixedTypes="0" containsString="0" containsNumber="1" containsInteger="1" minValue="5220" maxValue="28440"/>
    </cacheField>
    <cacheField name="PROJECT MANAGER " numFmtId="164">
      <sharedItems containsSemiMixedTypes="0" containsString="0" containsNumber="1" containsInteger="1" minValue="2280" maxValue="56880"/>
    </cacheField>
    <cacheField name="STRATEGY MANAGER " numFmtId="164">
      <sharedItems containsSemiMixedTypes="0" containsString="0" containsNumber="1" containsInteger="1" minValue="0" maxValue="19800"/>
    </cacheField>
    <cacheField name="DESIGN SPECIALIST " numFmtId="164">
      <sharedItems containsSemiMixedTypes="0" containsString="0" containsNumber="1" containsInteger="1" minValue="0" maxValue="25000"/>
    </cacheField>
    <cacheField name="EVENT STAFF " numFmtId="164">
      <sharedItems containsSemiMixedTypes="0" containsString="0" containsNumber="1" containsInteger="1" minValue="0" maxValue="12240"/>
    </cacheField>
    <cacheField name="ADMIN STAFF " numFmtId="164">
      <sharedItems containsSemiMixedTypes="0" containsString="0" containsNumber="1" containsInteger="1" minValue="870" maxValue="672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2">
  <r>
    <x v="0"/>
    <s v="Event strategy development"/>
    <d v="2013-06-09T00:00:00"/>
    <d v="2013-08-07T00:00:00"/>
    <d v="2013-06-29T00:00:00"/>
    <d v="2013-09-03T00:00:00"/>
    <n v="200"/>
    <n v="220"/>
    <n v="58"/>
    <n v="64"/>
    <n v="7200"/>
    <n v="2400"/>
    <n v="18000"/>
    <n v="0"/>
    <n v="0"/>
    <n v="1200"/>
    <n v="7920"/>
    <n v="2640"/>
    <n v="19800"/>
    <n v="0"/>
    <n v="0"/>
    <n v="1320"/>
  </r>
  <r>
    <x v="1"/>
    <s v="Event planning"/>
    <d v="2013-06-25T00:00:00"/>
    <d v="2013-07-27T00:00:00"/>
    <d v="2013-07-15T00:00:00"/>
    <d v="2013-08-25T00:00:00"/>
    <n v="400"/>
    <n v="390"/>
    <n v="32"/>
    <n v="40"/>
    <n v="14400"/>
    <n v="24000"/>
    <n v="6000"/>
    <n v="4000"/>
    <n v="0"/>
    <n v="2400"/>
    <n v="14040"/>
    <n v="23400"/>
    <n v="5850"/>
    <n v="3900"/>
    <n v="0"/>
    <n v="2340"/>
  </r>
  <r>
    <x v="2"/>
    <s v="Event design"/>
    <d v="2013-07-12T00:00:00"/>
    <d v="2013-09-19T00:00:00"/>
    <d v="2013-08-07T00:00:00"/>
    <d v="2013-10-10T00:00:00"/>
    <n v="500"/>
    <n v="500"/>
    <n v="67"/>
    <n v="63"/>
    <n v="18000"/>
    <n v="12000"/>
    <n v="0"/>
    <n v="25000"/>
    <n v="0"/>
    <n v="3000"/>
    <n v="18000"/>
    <n v="12000"/>
    <n v="0"/>
    <n v="25000"/>
    <n v="0"/>
    <n v="3000"/>
  </r>
  <r>
    <x v="3"/>
    <s v="Event logistics"/>
    <d v="2013-07-30T00:00:00"/>
    <d v="2013-09-28T00:00:00"/>
    <d v="2013-09-14T00:00:00"/>
    <d v="2013-11-13T00:00:00"/>
    <n v="150"/>
    <n v="145"/>
    <n v="58"/>
    <n v="59"/>
    <n v="5400"/>
    <n v="10800"/>
    <n v="0"/>
    <n v="0"/>
    <n v="1200"/>
    <n v="900"/>
    <n v="5220"/>
    <n v="10440"/>
    <n v="0"/>
    <n v="0"/>
    <n v="1160"/>
    <n v="870"/>
  </r>
  <r>
    <x v="4"/>
    <s v="Event staffing"/>
    <d v="2013-08-11T00:00:00"/>
    <d v="2013-08-21T00:00:00"/>
    <d v="2013-09-14T00:00:00"/>
    <d v="2013-09-25T00:00:00"/>
    <n v="250"/>
    <n v="255"/>
    <n v="10"/>
    <n v="11"/>
    <n v="9000"/>
    <n v="3000"/>
    <n v="0"/>
    <n v="0"/>
    <n v="12000"/>
    <n v="1500"/>
    <n v="9180"/>
    <n v="3060"/>
    <n v="0"/>
    <n v="0"/>
    <n v="12240"/>
    <n v="1530"/>
  </r>
  <r>
    <x v="5"/>
    <s v="Event assessment"/>
    <d v="2013-08-22T00:00:00"/>
    <d v="2013-10-02T00:00:00"/>
    <d v="2013-09-28T00:00:00"/>
    <d v="2013-10-27T00:00:00"/>
    <n v="300"/>
    <n v="310"/>
    <n v="40"/>
    <n v="29"/>
    <n v="10800"/>
    <n v="7200"/>
    <n v="9000"/>
    <n v="6000"/>
    <n v="0"/>
    <n v="3600"/>
    <n v="11160"/>
    <n v="7440"/>
    <n v="9300"/>
    <n v="6200"/>
    <n v="0"/>
    <n v="3720"/>
  </r>
  <r>
    <x v="6"/>
    <s v="Event planning"/>
    <d v="2013-09-13T00:00:00"/>
    <d v="2013-09-23T00:00:00"/>
    <d v="2013-10-26T00:00:00"/>
    <d v="2013-10-13T00:00:00"/>
    <n v="500"/>
    <n v="510"/>
    <n v="10"/>
    <n v="-13"/>
    <n v="18000"/>
    <n v="30000"/>
    <n v="7500"/>
    <n v="5000"/>
    <n v="0"/>
    <n v="3000"/>
    <n v="18360"/>
    <n v="30600"/>
    <n v="7650"/>
    <n v="5100"/>
    <n v="0"/>
    <n v="3060"/>
  </r>
  <r>
    <x v="7"/>
    <s v="Event logistics"/>
    <d v="2013-09-21T00:00:00"/>
    <d v="2013-10-15T00:00:00"/>
    <d v="2013-10-23T00:00:00"/>
    <d v="2013-11-18T00:00:00"/>
    <n v="750"/>
    <n v="790"/>
    <n v="24"/>
    <n v="25"/>
    <n v="27000"/>
    <n v="54000"/>
    <n v="0"/>
    <n v="0"/>
    <n v="6000"/>
    <n v="4500"/>
    <n v="28440"/>
    <n v="56880"/>
    <n v="0"/>
    <n v="0"/>
    <n v="6320"/>
    <n v="4740"/>
  </r>
  <r>
    <x v="8"/>
    <s v="Event assessment"/>
    <d v="2013-10-15T00:00:00"/>
    <d v="2013-11-25T00:00:00"/>
    <d v="2013-11-30T00:00:00"/>
    <d v="2014-01-10T00:00:00"/>
    <n v="450"/>
    <n v="430"/>
    <n v="40"/>
    <n v="40"/>
    <n v="16200"/>
    <n v="10800"/>
    <n v="13500"/>
    <n v="9000"/>
    <n v="0"/>
    <n v="5400"/>
    <n v="15480"/>
    <n v="10320"/>
    <n v="12900"/>
    <n v="8600"/>
    <n v="0"/>
    <n v="5160"/>
  </r>
  <r>
    <x v="9"/>
    <s v="Event staffing"/>
    <d v="2013-10-26T00:00:00"/>
    <d v="2013-12-24T00:00:00"/>
    <d v="2013-11-26T00:00:00"/>
    <d v="2014-01-19T00:00:00"/>
    <n v="250"/>
    <n v="235"/>
    <n v="58"/>
    <n v="53"/>
    <n v="9000"/>
    <n v="3000"/>
    <n v="0"/>
    <n v="0"/>
    <n v="12000"/>
    <n v="1500"/>
    <n v="8460"/>
    <n v="2820"/>
    <n v="0"/>
    <n v="0"/>
    <n v="11280"/>
    <n v="1410"/>
  </r>
  <r>
    <x v="10"/>
    <s v="Event planning"/>
    <d v="2013-11-17T00:00:00"/>
    <d v="2014-01-15T00:00:00"/>
    <d v="2013-12-28T00:00:00"/>
    <d v="2014-02-26T00:00:00"/>
    <n v="200"/>
    <n v="235"/>
    <n v="58"/>
    <n v="58"/>
    <n v="7200"/>
    <n v="12000"/>
    <n v="3000"/>
    <n v="2000"/>
    <n v="0"/>
    <n v="1200"/>
    <n v="8460"/>
    <n v="14100"/>
    <n v="3525"/>
    <n v="2350"/>
    <n v="0"/>
    <n v="1410"/>
  </r>
  <r>
    <x v="11"/>
    <s v="Event strategy development"/>
    <d v="2013-12-03T00:00:00"/>
    <d v="2014-02-02T00:00:00"/>
    <d v="2014-01-14T00:00:00"/>
    <d v="2014-03-02T00:00:00"/>
    <n v="180"/>
    <n v="190"/>
    <n v="59"/>
    <n v="48"/>
    <n v="6480"/>
    <n v="2160"/>
    <n v="16200"/>
    <n v="0"/>
    <n v="0"/>
    <n v="1080"/>
    <n v="6840"/>
    <n v="2280"/>
    <n v="17100"/>
    <n v="0"/>
    <n v="0"/>
    <n v="1140"/>
  </r>
  <r>
    <x v="12"/>
    <s v="Event staffing"/>
    <d v="2013-06-21T00:00:00"/>
    <d v="2014-01-18T00:00:00"/>
    <d v="2013-08-05T00:00:00"/>
    <d v="2014-03-04T00:00:00"/>
    <n v="250"/>
    <n v="230"/>
    <n v="207"/>
    <n v="209"/>
    <n v="9000"/>
    <n v="3000"/>
    <n v="0"/>
    <n v="0"/>
    <n v="12000"/>
    <n v="1500"/>
    <n v="8280"/>
    <n v="2760"/>
    <n v="0"/>
    <n v="0"/>
    <n v="11040"/>
    <n v="1380"/>
  </r>
  <r>
    <x v="13"/>
    <s v="Event logistics"/>
    <d v="2013-12-20T00:00:00"/>
    <d v="2014-02-04T00:00:00"/>
    <d v="2014-01-27T00:00:00"/>
    <d v="2014-03-25T00:00:00"/>
    <n v="240"/>
    <n v="225"/>
    <n v="44"/>
    <n v="58"/>
    <n v="8640"/>
    <n v="17280"/>
    <n v="0"/>
    <n v="0"/>
    <n v="1920"/>
    <n v="1440"/>
    <n v="8100"/>
    <n v="16200"/>
    <n v="0"/>
    <n v="0"/>
    <n v="1800"/>
    <n v="1350"/>
  </r>
  <r>
    <x v="14"/>
    <s v="Event design"/>
    <d v="2013-12-28T00:00:00"/>
    <d v="2014-03-05T00:00:00"/>
    <d v="2014-01-17T00:00:00"/>
    <d v="2014-04-10T00:00:00"/>
    <n v="320"/>
    <n v="305"/>
    <n v="67"/>
    <n v="83"/>
    <n v="11520"/>
    <n v="7680"/>
    <n v="0"/>
    <n v="16000"/>
    <n v="0"/>
    <n v="1920"/>
    <n v="10980"/>
    <n v="7320"/>
    <n v="0"/>
    <n v="15250"/>
    <n v="0"/>
    <n v="1830"/>
  </r>
  <r>
    <x v="15"/>
    <s v="Event planning"/>
    <d v="2014-01-04T00:00:00"/>
    <d v="2014-03-06T00:00:00"/>
    <d v="2014-02-03T00:00:00"/>
    <d v="2014-04-06T00:00:00"/>
    <n v="550"/>
    <n v="565"/>
    <n v="62"/>
    <n v="63"/>
    <n v="19800"/>
    <n v="33000"/>
    <n v="8250"/>
    <n v="5500"/>
    <n v="0"/>
    <n v="3300"/>
    <n v="20340"/>
    <n v="33900"/>
    <n v="8475"/>
    <n v="5650"/>
    <n v="0"/>
    <n v="3390"/>
  </r>
  <r>
    <x v="16"/>
    <s v="Event design"/>
    <d v="2014-01-23T00:00:00"/>
    <d v="2014-03-07T00:00:00"/>
    <d v="2014-03-07T00:00:00"/>
    <d v="2014-04-08T00:00:00"/>
    <n v="350"/>
    <n v="350"/>
    <n v="44"/>
    <n v="31"/>
    <n v="12600"/>
    <n v="8400"/>
    <n v="0"/>
    <n v="17500"/>
    <n v="0"/>
    <n v="2100"/>
    <n v="12600"/>
    <n v="8400"/>
    <n v="0"/>
    <n v="17500"/>
    <n v="0"/>
    <n v="2100"/>
  </r>
  <r>
    <x v="17"/>
    <s v="Event strategy development"/>
    <d v="2014-02-05T00:00:00"/>
    <d v="2014-04-17T00:00:00"/>
    <d v="2014-03-07T00:00:00"/>
    <d v="2014-06-03T00:00:00"/>
    <n v="200"/>
    <n v="205"/>
    <n v="72"/>
    <n v="86"/>
    <n v="7200"/>
    <n v="2400"/>
    <n v="18000"/>
    <n v="0"/>
    <n v="0"/>
    <n v="1200"/>
    <n v="7380"/>
    <n v="2460"/>
    <n v="18450"/>
    <n v="0"/>
    <n v="0"/>
    <n v="1230"/>
  </r>
  <r>
    <x v="18"/>
    <s v="Event planning"/>
    <d v="2014-02-15T00:00:00"/>
    <d v="2014-04-30T00:00:00"/>
    <d v="2014-03-26T00:00:00"/>
    <d v="2014-06-09T00:00:00"/>
    <n v="220"/>
    <n v="230"/>
    <n v="75"/>
    <n v="73"/>
    <n v="7920"/>
    <n v="13200"/>
    <n v="3300"/>
    <n v="2200"/>
    <n v="0"/>
    <n v="1320"/>
    <n v="8280"/>
    <n v="13800"/>
    <n v="3450"/>
    <n v="2300"/>
    <n v="0"/>
    <n v="1380"/>
  </r>
  <r>
    <x v="19"/>
    <s v="Event assessment"/>
    <d v="2014-03-17T00:00:00"/>
    <d v="2014-05-25T00:00:00"/>
    <d v="2014-04-29T00:00:00"/>
    <d v="2014-07-01T00:00:00"/>
    <n v="600"/>
    <n v="560"/>
    <n v="68"/>
    <n v="62"/>
    <n v="21600"/>
    <n v="14400"/>
    <n v="18000"/>
    <n v="12000"/>
    <n v="0"/>
    <n v="7200"/>
    <n v="20160"/>
    <n v="13440"/>
    <n v="16800"/>
    <n v="11200"/>
    <n v="0"/>
    <n v="6720"/>
  </r>
  <r>
    <x v="20"/>
    <s v="Event logistics"/>
    <d v="2014-03-29T00:00:00"/>
    <d v="2014-05-19T00:00:00"/>
    <d v="2014-05-18T00:00:00"/>
    <d v="2014-06-19T00:00:00"/>
    <n v="525"/>
    <n v="540"/>
    <n v="50"/>
    <n v="31"/>
    <n v="18900"/>
    <n v="37800"/>
    <n v="0"/>
    <n v="0"/>
    <n v="4200"/>
    <n v="3150"/>
    <n v="19440"/>
    <n v="38880"/>
    <n v="0"/>
    <n v="0"/>
    <n v="4320"/>
    <n v="3240"/>
  </r>
  <r>
    <x v="21"/>
    <s v="Event planning"/>
    <d v="2014-04-09T00:00:00"/>
    <d v="2014-04-29T00:00:00"/>
    <d v="2014-05-02T00:00:00"/>
    <d v="2014-06-04T00:00:00"/>
    <n v="180"/>
    <n v="190"/>
    <n v="20"/>
    <n v="32"/>
    <n v="6480"/>
    <n v="10800"/>
    <n v="2700"/>
    <n v="1800"/>
    <n v="0"/>
    <n v="1080"/>
    <n v="6840"/>
    <n v="11400"/>
    <n v="2850"/>
    <n v="1900"/>
    <n v="0"/>
    <n v="114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vtTotals" cacheId="10" applyNumberFormats="0" applyBorderFormats="0" applyFontFormats="0" applyPatternFormats="0" applyAlignmentFormats="0" applyWidthHeightFormats="1" dataCaption="Values" updatedVersion="5" minRefreshableVersion="3" useAutoFormatting="1" itemPrintTitles="1" createdVersion="5" indent="0" compact="0" compactData="0" multipleFieldFilters="0" chartFormat="4">
  <location ref="B6:N29" firstHeaderRow="0" firstDataRow="1" firstDataCol="1"/>
  <pivotFields count="22">
    <pivotField axis="axisRow" compact="0" outline="0" showAll="0">
      <items count="23">
        <item x="0"/>
        <item x="1"/>
        <item x="2"/>
        <item x="3"/>
        <item x="4"/>
        <item x="5"/>
        <item x="6"/>
        <item x="8"/>
        <item x="7"/>
        <item x="11"/>
        <item x="10"/>
        <item x="9"/>
        <item x="12"/>
        <item x="13"/>
        <item x="14"/>
        <item x="15"/>
        <item x="16"/>
        <item x="17"/>
        <item x="18"/>
        <item x="19"/>
        <item x="20"/>
        <item x="21"/>
        <item t="default"/>
      </items>
    </pivotField>
    <pivotField compact="0" outline="0" showAll="0"/>
    <pivotField compact="0" numFmtId="14" outline="0" showAll="0"/>
    <pivotField compact="0" numFmtId="14" outline="0" showAll="0"/>
    <pivotField compact="0" outline="0" showAll="0"/>
    <pivotField compact="0" outline="0" showAll="0"/>
    <pivotField compact="0" outline="0" showAll="0"/>
    <pivotField compact="0" outline="0" showAll="0"/>
    <pivotField compact="0" outline="0" showAll="0"/>
    <pivotField compact="0" outline="0" showAll="0"/>
    <pivotField dataField="1" compact="0" numFmtId="164" outline="0" showAll="0" defaultSubtotal="0"/>
    <pivotField dataField="1" compact="0" numFmtId="164" outline="0" showAll="0" defaultSubtotal="0"/>
    <pivotField dataField="1" compact="0" numFmtId="164" outline="0" showAll="0" defaultSubtotal="0"/>
    <pivotField dataField="1" compact="0" numFmtId="164" outline="0" showAll="0" defaultSubtotal="0"/>
    <pivotField dataField="1" compact="0" numFmtId="164" outline="0" showAll="0" defaultSubtotal="0"/>
    <pivotField dataField="1" compact="0" numFmtId="164" outline="0" showAll="0" defaultSubtotal="0"/>
    <pivotField dataField="1" compact="0" numFmtId="164" outline="0" showAll="0" defaultSubtotal="0"/>
    <pivotField dataField="1" compact="0" numFmtId="164" outline="0" showAll="0" defaultSubtotal="0"/>
    <pivotField dataField="1" compact="0" numFmtId="164" outline="0" showAll="0" defaultSubtotal="0"/>
    <pivotField dataField="1" compact="0" numFmtId="164" outline="0" showAll="0" defaultSubtotal="0"/>
    <pivotField dataField="1" compact="0" numFmtId="164" outline="0" showAll="0" defaultSubtotal="0"/>
    <pivotField dataField="1" compact="0" numFmtId="164" outline="0" showAll="0" defaultSubtotal="0"/>
  </pivotFields>
  <rowFields count="1">
    <field x="0"/>
  </rowFields>
  <rowItems count="23">
    <i>
      <x/>
    </i>
    <i>
      <x v="1"/>
    </i>
    <i>
      <x v="2"/>
    </i>
    <i>
      <x v="3"/>
    </i>
    <i>
      <x v="4"/>
    </i>
    <i>
      <x v="5"/>
    </i>
    <i>
      <x v="6"/>
    </i>
    <i>
      <x v="7"/>
    </i>
    <i>
      <x v="8"/>
    </i>
    <i>
      <x v="9"/>
    </i>
    <i>
      <x v="10"/>
    </i>
    <i>
      <x v="11"/>
    </i>
    <i>
      <x v="12"/>
    </i>
    <i>
      <x v="13"/>
    </i>
    <i>
      <x v="14"/>
    </i>
    <i>
      <x v="15"/>
    </i>
    <i>
      <x v="16"/>
    </i>
    <i>
      <x v="17"/>
    </i>
    <i>
      <x v="18"/>
    </i>
    <i>
      <x v="19"/>
    </i>
    <i>
      <x v="20"/>
    </i>
    <i>
      <x v="21"/>
    </i>
    <i t="grand">
      <x/>
    </i>
  </rowItems>
  <colFields count="1">
    <field x="-2"/>
  </colFields>
  <colItems count="12">
    <i>
      <x/>
    </i>
    <i i="1">
      <x v="1"/>
    </i>
    <i i="2">
      <x v="2"/>
    </i>
    <i i="3">
      <x v="3"/>
    </i>
    <i i="4">
      <x v="4"/>
    </i>
    <i i="5">
      <x v="5"/>
    </i>
    <i i="6">
      <x v="6"/>
    </i>
    <i i="7">
      <x v="7"/>
    </i>
    <i i="8">
      <x v="8"/>
    </i>
    <i i="9">
      <x v="9"/>
    </i>
    <i i="10">
      <x v="10"/>
    </i>
    <i i="11">
      <x v="11"/>
    </i>
  </colItems>
  <dataFields count="12">
    <dataField name="ACCOUNT MANAGER ESTIMATE" fld="10" baseField="0" baseItem="5" numFmtId="165"/>
    <dataField name="PROJECT MANAGER ESTIMATE" fld="11" baseField="0" baseItem="11" numFmtId="165"/>
    <dataField name="STRATEGY MANAGER ESTIMATE" fld="12" baseField="0" baseItem="11" numFmtId="165"/>
    <dataField name="DESIGN SPECIALIST ESTIMATE" fld="13" baseField="0" baseItem="11" numFmtId="165"/>
    <dataField name="EVENT STAFF ESTIMATE" fld="14" baseField="0" baseItem="11" numFmtId="165"/>
    <dataField name="ADMIN STAFF ESTIMATE" fld="15" baseField="0" baseItem="11" numFmtId="165"/>
    <dataField name="ACCOUNT MANAGER ACTUAL" fld="16" baseField="0" baseItem="1" numFmtId="165"/>
    <dataField name="PROJECT MANAGER ACTUAL" fld="17" baseField="0" baseItem="1" numFmtId="165"/>
    <dataField name="STRATEGY MANAGER ACTUAL" fld="18" baseField="0" baseItem="1" numFmtId="165"/>
    <dataField name="DESIGN SPECIALIST ACTUAL" fld="19" baseField="0" baseItem="1" numFmtId="165"/>
    <dataField name="EVENT STAFF ACTUAL" fld="20" baseField="0" baseItem="1" numFmtId="165"/>
    <dataField name="ADMIN STAFF ACTUAL" fld="21" baseField="0" baseItem="1" numFmtId="165"/>
  </dataFields>
  <formats count="9">
    <format dxfId="8">
      <pivotArea field="0" type="button" dataOnly="0" labelOnly="1" outline="0" axis="axisRow" fieldPosition="0"/>
    </format>
    <format dxfId="7">
      <pivotArea dataOnly="0" labelOnly="1" outline="0" fieldPosition="0">
        <references count="1">
          <reference field="4294967294" count="6">
            <x v="0"/>
            <x v="1"/>
            <x v="2"/>
            <x v="3"/>
            <x v="4"/>
            <x v="5"/>
          </reference>
        </references>
      </pivotArea>
    </format>
    <format dxfId="6">
      <pivotArea outline="0" fieldPosition="0">
        <references count="1">
          <reference field="4294967294" count="1">
            <x v="6"/>
          </reference>
        </references>
      </pivotArea>
    </format>
    <format dxfId="5">
      <pivotArea outline="0" fieldPosition="0">
        <references count="1">
          <reference field="4294967294" count="1">
            <x v="7"/>
          </reference>
        </references>
      </pivotArea>
    </format>
    <format dxfId="4">
      <pivotArea outline="0" fieldPosition="0">
        <references count="1">
          <reference field="4294967294" count="1">
            <x v="8"/>
          </reference>
        </references>
      </pivotArea>
    </format>
    <format dxfId="3">
      <pivotArea outline="0" fieldPosition="0">
        <references count="1">
          <reference field="4294967294" count="1">
            <x v="9"/>
          </reference>
        </references>
      </pivotArea>
    </format>
    <format dxfId="2">
      <pivotArea outline="0" fieldPosition="0">
        <references count="1">
          <reference field="4294967294" count="1">
            <x v="10"/>
          </reference>
        </references>
      </pivotArea>
    </format>
    <format dxfId="1">
      <pivotArea outline="0" fieldPosition="0">
        <references count="1">
          <reference field="4294967294" count="1">
            <x v="11"/>
          </reference>
        </references>
      </pivotArea>
    </format>
    <format dxfId="0">
      <pivotArea dataOnly="0" labelOnly="1" outline="0" fieldPosition="0">
        <references count="1">
          <reference field="4294967294" count="6">
            <x v="6"/>
            <x v="7"/>
            <x v="8"/>
            <x v="9"/>
            <x v="10"/>
            <x v="11"/>
          </reference>
        </references>
      </pivotArea>
    </format>
  </formats>
  <pivotTableStyleInfo name="PivotStyleMedium3" showRowHeaders="1" showColHeaders="1" showRowStripes="0" showColStripes="0" showLastColumn="1"/>
  <extLst>
    <ext xmlns:x14="http://schemas.microsoft.com/office/spreadsheetml/2009/9/main" uri="{962EF5D1-5CA2-4c93-8EF4-DBF5C05439D2}">
      <x14:pivotTableDefinition xmlns:xm="http://schemas.microsoft.com/office/excel/2006/main" altText="Project totals PivotTable" altTextSummary="This PivotTable will list projects by name, as well as calculated values for all items on the PROJECT PARAMETERS worksheet, calculated by multiplying the hours duration on the PROJECT DETAILS sheet." hideValuesRow="1"/>
    </ext>
  </extLst>
</pivotTableDefinition>
</file>

<file path=xl/tables/table1.xml><?xml version="1.0" encoding="utf-8"?>
<table xmlns="http://schemas.openxmlformats.org/spreadsheetml/2006/main" id="1" name="tblParameters" displayName="tblParameters" ref="B7:I13" totalsRowShown="0" headerRowDxfId="59" dataDxfId="58">
  <autoFilter ref="B7:I1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PROJECT TYPE" dataDxfId="57"/>
    <tableColumn id="2" name="ACCOUNT MANAGER" dataDxfId="56"/>
    <tableColumn id="3" name="PROJECT MANAGER" dataDxfId="55"/>
    <tableColumn id="4" name="STRATEGY MANAGER" dataDxfId="54"/>
    <tableColumn id="5" name="DESIGN SPECIALIST" dataDxfId="53"/>
    <tableColumn id="6" name="EVENT STAFF" dataDxfId="52"/>
    <tableColumn id="7" name="ADMIN STAFF" dataDxfId="51"/>
    <tableColumn id="8" name="Total" dataDxfId="50">
      <calculatedColumnFormula>SUM(tblParameters[[#This Row],[ACCOUNT MANAGER]:[ADMIN STAFF]])</calculatedColumnFormula>
    </tableColumn>
  </tableColumns>
  <tableStyleInfo name="TableStyleLight11" showFirstColumn="0" showLastColumn="0" showRowStripes="1" showColumnStripes="0"/>
  <extLst>
    <ext xmlns:x14="http://schemas.microsoft.com/office/spreadsheetml/2009/9/main" uri="{504A1905-F514-4f6f-8877-14C23A59335A}">
      <x14:table altText="Project parameters table" altTextSummary="Enter project parameter information in this table."/>
    </ext>
  </extLst>
</table>
</file>

<file path=xl/tables/table2.xml><?xml version="1.0" encoding="utf-8"?>
<table xmlns="http://schemas.openxmlformats.org/spreadsheetml/2006/main" id="2" name="tblDetails" displayName="tblDetails" ref="B6:W29" totalsRowCount="1" headerRowDxfId="49" dataCellStyle="Normal">
  <autoFilter ref="B6:W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22">
    <tableColumn id="1" name="PROJECT NAME" totalsRowLabel="TOTAL" totalsRowDxfId="48" dataCellStyle="Normal"/>
    <tableColumn id="2" name="PROJECT TYPE" totalsRowDxfId="47" dataCellStyle="Normal"/>
    <tableColumn id="3" name="ESTIMATED START" dataDxfId="46" totalsRowDxfId="45" dataCellStyle="Normal"/>
    <tableColumn id="4" name="ESTIMATED FINISH" dataDxfId="44" totalsRowDxfId="43" dataCellStyle="Normal"/>
    <tableColumn id="7" name="ACTUAL START" dataDxfId="42" totalsRowDxfId="41" dataCellStyle="Normal"/>
    <tableColumn id="8" name="ACTUAL FINISH" dataDxfId="40" totalsRowDxfId="39" dataCellStyle="Normal"/>
    <tableColumn id="5" name="ESTIMATED WORK" totalsRowFunction="sum" totalsRowDxfId="38" dataCellStyle="Normal"/>
    <tableColumn id="9" name="ACTUAL WORK" totalsRowFunction="sum" totalsRowDxfId="37" dataCellStyle="Normal"/>
    <tableColumn id="6" name="ESTIMATED DURATION" totalsRowFunction="sum" dataDxfId="36" totalsRowDxfId="35" dataCellStyle="Normal">
      <calculatedColumnFormula>DAYS360(tblDetails[[#This Row],[ESTIMATED START]],tblDetails[[#This Row],[ESTIMATED FINISH]],FALSE)</calculatedColumnFormula>
    </tableColumn>
    <tableColumn id="10" name="ACTUAL DURATION" totalsRowFunction="sum" dataDxfId="34" totalsRowDxfId="33" dataCellStyle="Normal">
      <calculatedColumnFormula>DAYS360(tblDetails[[#This Row],[ACTUAL START]],tblDetails[[#This Row],[ACTUAL FINISH]],FALSE)</calculatedColumnFormula>
    </tableColumn>
    <tableColumn id="11" name="ACCOUNT MANAGER" dataDxfId="32" totalsRowDxfId="31" dataCellStyle="Normal">
      <calculatedColumnFormula>INDEX(tblParameters[],MATCH(tblDetails[[#This Row],[PROJECT TYPE]],tblParameters[PROJECT TYPE],0),MATCH(tblDetails[[#Headers],[ACCOUNT MANAGER]],tblParameters[#Headers],0))*INDEX('PROJECT PARAMETERS'!$B$14:$H$14,1,MATCH(tblDetails[[#Headers],[ACCOUNT MANAGER]],tblParameters[#Headers],0))*tblDetails[[#This Row],[ESTIMATED WORK]]</calculatedColumnFormula>
    </tableColumn>
    <tableColumn id="12" name="PROJECT MANAGER" dataDxfId="30" totalsRowDxfId="29" dataCellStyle="Normal">
      <calculatedColumnFormula>INDEX(tblParameters[],MATCH(tblDetails[[#This Row],[PROJECT TYPE]],tblParameters[PROJECT TYPE],0),MATCH(tblDetails[[#Headers],[PROJECT MANAGER]],tblParameters[#Headers],0))*INDEX('PROJECT PARAMETERS'!$B$14:$H$14,1,MATCH(tblDetails[[#Headers],[PROJECT MANAGER]],tblParameters[#Headers],0))*tblDetails[[#This Row],[ESTIMATED WORK]]</calculatedColumnFormula>
    </tableColumn>
    <tableColumn id="13" name="STRATEGY MANAGER" dataDxfId="28" totalsRowDxfId="27" dataCellStyle="Normal">
      <calculatedColumnFormula>INDEX(tblParameters[],MATCH(tblDetails[[#This Row],[PROJECT TYPE]],tblParameters[PROJECT TYPE],0),MATCH(tblDetails[[#Headers],[STRATEGY MANAGER]],tblParameters[#Headers],0))*INDEX('PROJECT PARAMETERS'!$B$14:$H$14,1,MATCH(tblDetails[[#Headers],[STRATEGY MANAGER]],tblParameters[#Headers],0))*tblDetails[[#This Row],[ESTIMATED WORK]]</calculatedColumnFormula>
    </tableColumn>
    <tableColumn id="14" name="DESIGN SPECIALIST" dataDxfId="26" totalsRowDxfId="25" dataCellStyle="Normal">
      <calculatedColumnFormula>INDEX(tblParameters[],MATCH(tblDetails[[#This Row],[PROJECT TYPE]],tblParameters[PROJECT TYPE],0),MATCH(tblDetails[[#Headers],[DESIGN SPECIALIST]],tblParameters[#Headers],0))*INDEX('PROJECT PARAMETERS'!$B$14:$H$14,1,MATCH(tblDetails[[#Headers],[DESIGN SPECIALIST]],tblParameters[#Headers],0))*tblDetails[[#This Row],[ESTIMATED WORK]]</calculatedColumnFormula>
    </tableColumn>
    <tableColumn id="15" name="EVENT STAFF" dataDxfId="24" totalsRowDxfId="23" dataCellStyle="Normal">
      <calculatedColumnFormula>INDEX(tblParameters[],MATCH(tblDetails[[#This Row],[PROJECT TYPE]],tblParameters[PROJECT TYPE],0),MATCH(tblDetails[[#Headers],[EVENT STAFF]],tblParameters[#Headers],0))*INDEX('PROJECT PARAMETERS'!$B$14:$H$14,1,MATCH(tblDetails[[#Headers],[EVENT STAFF]],tblParameters[#Headers],0))*tblDetails[[#This Row],[ESTIMATED WORK]]</calculatedColumnFormula>
    </tableColumn>
    <tableColumn id="16" name="ADMIN STAFF" dataDxfId="22" totalsRowDxfId="21" dataCellStyle="Normal">
      <calculatedColumnFormula>INDEX(tblParameters[],MATCH(tblDetails[[#This Row],[PROJECT TYPE]],tblParameters[PROJECT TYPE],0),MATCH(tblDetails[[#Headers],[ADMIN STAFF]],tblParameters[#Headers],0))*INDEX('PROJECT PARAMETERS'!$B$14:$H$14,1,MATCH(tblDetails[[#Headers],[ADMIN STAFF]],tblParameters[#Headers],0))*tblDetails[[#This Row],[ESTIMATED WORK]]</calculatedColumnFormula>
    </tableColumn>
    <tableColumn id="17" name="ACCOUNT MANAGER " dataDxfId="20" totalsRowDxfId="19" dataCellStyle="Normal">
      <calculatedColumnFormula>INDEX(tblParameters[],MATCH(tblDetails[[#This Row],[PROJECT TYPE]],tblParameters[PROJECT TYPE],0),MATCH(tblDetails[[#Headers],[ACCOUNT MANAGER]],tblParameters[#Headers],0))*INDEX('PROJECT PARAMETERS'!$B$14:$H$14,1,MATCH(tblDetails[[#Headers],[ACCOUNT MANAGER]],tblParameters[#Headers],0))*tblDetails[[#This Row],[ACTUAL WORK]]</calculatedColumnFormula>
    </tableColumn>
    <tableColumn id="18" name="PROJECT MANAGER " dataDxfId="18" totalsRowDxfId="17" dataCellStyle="Normal">
      <calculatedColumnFormula>INDEX(tblParameters[],MATCH(tblDetails[[#This Row],[PROJECT TYPE]],tblParameters[PROJECT TYPE],0),MATCH(tblDetails[[#Headers],[PROJECT MANAGER]],tblParameters[#Headers],0))*INDEX('PROJECT PARAMETERS'!$B$14:$H$14,1,MATCH(tblDetails[[#Headers],[PROJECT MANAGER]],tblParameters[#Headers],0))*tblDetails[[#This Row],[ACTUAL WORK]]</calculatedColumnFormula>
    </tableColumn>
    <tableColumn id="19" name="STRATEGY MANAGER " dataDxfId="16" totalsRowDxfId="15" dataCellStyle="Normal">
      <calculatedColumnFormula>INDEX(tblParameters[],MATCH(tblDetails[[#This Row],[PROJECT TYPE]],tblParameters[PROJECT TYPE],0),MATCH(tblDetails[[#Headers],[STRATEGY MANAGER]],tblParameters[#Headers],0))*INDEX('PROJECT PARAMETERS'!$B$14:$H$14,1,MATCH(tblDetails[[#Headers],[STRATEGY MANAGER]],tblParameters[#Headers],0))*tblDetails[[#This Row],[ACTUAL WORK]]</calculatedColumnFormula>
    </tableColumn>
    <tableColumn id="20" name="DESIGN SPECIALIST " dataDxfId="14" totalsRowDxfId="13" dataCellStyle="Normal">
      <calculatedColumnFormula>INDEX(tblParameters[],MATCH(tblDetails[[#This Row],[PROJECT TYPE]],tblParameters[PROJECT TYPE],0),MATCH(tblDetails[[#Headers],[DESIGN SPECIALIST]],tblParameters[#Headers],0))*INDEX('PROJECT PARAMETERS'!$B$14:$H$14,1,MATCH(tblDetails[[#Headers],[DESIGN SPECIALIST]],tblParameters[#Headers],0))*tblDetails[[#This Row],[ACTUAL WORK]]</calculatedColumnFormula>
    </tableColumn>
    <tableColumn id="21" name="EVENT STAFF " dataDxfId="12" totalsRowDxfId="11" dataCellStyle="Normal">
      <calculatedColumnFormula>INDEX(tblParameters[],MATCH(tblDetails[[#This Row],[PROJECT TYPE]],tblParameters[PROJECT TYPE],0),MATCH(tblDetails[[#Headers],[EVENT STAFF]],tblParameters[#Headers],0))*INDEX('PROJECT PARAMETERS'!$B$14:$H$14,1,MATCH(tblDetails[[#Headers],[EVENT STAFF]],tblParameters[#Headers],0))*tblDetails[[#This Row],[ACTUAL WORK]]</calculatedColumnFormula>
    </tableColumn>
    <tableColumn id="22" name="ADMIN STAFF " dataDxfId="10" totalsRowDxfId="9" dataCellStyle="Normal">
      <calculatedColumnFormula>INDEX(tblParameters[],MATCH(tblDetails[[#This Row],[PROJECT TYPE]],tblParameters[PROJECT TYPE],0),MATCH(tblDetails[[#Headers],[ADMIN STAFF]],tblParameters[#Headers],0))*INDEX('PROJECT PARAMETERS'!$B$14:$H$14,1,MATCH(tblDetails[[#Headers],[ADMIN STAFF]],tblParameters[#Headers],0))*tblDetails[[#This Row],[ACTUAL WORK]]</calculatedColumnFormula>
    </tableColumn>
  </tableColumns>
  <tableStyleInfo name="TableStyleMedium3" showFirstColumn="0" showLastColumn="0" showRowStripes="1" showColumnStripes="0"/>
  <extLst>
    <ext xmlns:x14="http://schemas.microsoft.com/office/spreadsheetml/2009/9/main" uri="{504A1905-F514-4f6f-8877-14C23A59335A}">
      <x14:table altText="Project details table" altTextSummary="Enter project names, type, estimated and actual start/finish dates, work hours, and durations wil be calculated for you."/>
    </ext>
  </extLst>
</table>
</file>

<file path=xl/theme/theme1.xml><?xml version="1.0" encoding="utf-8"?>
<a:theme xmlns:a="http://schemas.openxmlformats.org/drawingml/2006/main" name="MarketingProjectPlan">
  <a:themeElements>
    <a:clrScheme name="MarketingProjectPlan_colors">
      <a:dk1>
        <a:srgbClr val="000000"/>
      </a:dk1>
      <a:lt1>
        <a:srgbClr val="FFFFFF"/>
      </a:lt1>
      <a:dk2>
        <a:srgbClr val="636466"/>
      </a:dk2>
      <a:lt2>
        <a:srgbClr val="F2F2F2"/>
      </a:lt2>
      <a:accent1>
        <a:srgbClr val="BE870E"/>
      </a:accent1>
      <a:accent2>
        <a:srgbClr val="1A86B6"/>
      </a:accent2>
      <a:accent3>
        <a:srgbClr val="5F781B"/>
      </a:accent3>
      <a:accent4>
        <a:srgbClr val="C45808"/>
      </a:accent4>
      <a:accent5>
        <a:srgbClr val="6B3489"/>
      </a:accent5>
      <a:accent6>
        <a:srgbClr val="C2344E"/>
      </a:accent6>
      <a:hlink>
        <a:srgbClr val="3778A9"/>
      </a:hlink>
      <a:folHlink>
        <a:srgbClr val="6B3489"/>
      </a:folHlink>
    </a:clrScheme>
    <a:fontScheme name="Invoice with Sales Tax">
      <a:majorFont>
        <a:latin typeface="Tahoma"/>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pageSetUpPr autoPageBreaks="0" fitToPage="1"/>
  </sheetPr>
  <dimension ref="B1:I21"/>
  <sheetViews>
    <sheetView showGridLines="0" tabSelected="1" workbookViewId="0"/>
  </sheetViews>
  <sheetFormatPr defaultRowHeight="14.25" x14ac:dyDescent="0.2"/>
  <cols>
    <col min="1" max="1" width="1.7109375" style="5" customWidth="1"/>
    <col min="2" max="2" width="29.28515625" style="5" customWidth="1"/>
    <col min="3" max="3" width="21.42578125" style="5" bestFit="1" customWidth="1"/>
    <col min="4" max="4" width="20.85546875" style="5" bestFit="1" customWidth="1"/>
    <col min="5" max="5" width="22.42578125" style="5" bestFit="1" customWidth="1"/>
    <col min="6" max="6" width="21" style="5" bestFit="1" customWidth="1"/>
    <col min="7" max="7" width="14.5703125" style="5" bestFit="1" customWidth="1"/>
    <col min="8" max="8" width="15.42578125" style="5" bestFit="1" customWidth="1"/>
    <col min="9" max="9" width="7.85546875" style="5" bestFit="1" customWidth="1"/>
    <col min="10" max="16384" width="9.140625" style="5"/>
  </cols>
  <sheetData>
    <row r="1" spans="2:9" ht="9.9499999999999993" customHeight="1" x14ac:dyDescent="0.2"/>
    <row r="2" spans="2:9" ht="25.5" x14ac:dyDescent="0.35">
      <c r="B2" s="2" t="s">
        <v>0</v>
      </c>
      <c r="C2" s="2"/>
      <c r="D2" s="2"/>
      <c r="E2" s="2"/>
      <c r="F2" s="2"/>
      <c r="G2" s="2"/>
      <c r="H2" s="2"/>
      <c r="I2" s="2"/>
    </row>
    <row r="3" spans="2:9" ht="19.5" x14ac:dyDescent="0.25">
      <c r="B3" s="3" t="s">
        <v>1</v>
      </c>
      <c r="C3" s="3"/>
      <c r="D3" s="3"/>
      <c r="E3" s="3"/>
      <c r="F3" s="3"/>
      <c r="G3" s="3"/>
      <c r="H3" s="3"/>
      <c r="I3" s="3"/>
    </row>
    <row r="4" spans="2:9" ht="15" x14ac:dyDescent="0.2">
      <c r="B4" s="4" t="s">
        <v>2</v>
      </c>
      <c r="C4" s="4"/>
      <c r="D4" s="4"/>
      <c r="E4" s="4"/>
      <c r="F4" s="4"/>
      <c r="G4" s="4"/>
      <c r="H4" s="4"/>
      <c r="I4" s="4"/>
    </row>
    <row r="6" spans="2:9" x14ac:dyDescent="0.2">
      <c r="B6" s="9" t="s">
        <v>3</v>
      </c>
    </row>
    <row r="7" spans="2:9" x14ac:dyDescent="0.2">
      <c r="B7" s="16" t="s">
        <v>38</v>
      </c>
      <c r="C7" s="16" t="s">
        <v>46</v>
      </c>
      <c r="D7" s="16" t="s">
        <v>47</v>
      </c>
      <c r="E7" s="16" t="s">
        <v>48</v>
      </c>
      <c r="F7" s="16" t="s">
        <v>49</v>
      </c>
      <c r="G7" s="16" t="s">
        <v>50</v>
      </c>
      <c r="H7" s="16" t="s">
        <v>51</v>
      </c>
      <c r="I7" s="16" t="s">
        <v>4</v>
      </c>
    </row>
    <row r="8" spans="2:9" x14ac:dyDescent="0.2">
      <c r="B8" s="5" t="s">
        <v>5</v>
      </c>
      <c r="C8" s="6">
        <v>0.2</v>
      </c>
      <c r="D8" s="6">
        <v>0.1</v>
      </c>
      <c r="E8" s="6">
        <v>0.6</v>
      </c>
      <c r="F8" s="6">
        <v>0</v>
      </c>
      <c r="G8" s="6">
        <v>0</v>
      </c>
      <c r="H8" s="6">
        <v>0.1</v>
      </c>
      <c r="I8" s="8">
        <f>SUM(tblParameters[[#This Row],[ACCOUNT MANAGER]:[ADMIN STAFF]])</f>
        <v>1</v>
      </c>
    </row>
    <row r="9" spans="2:9" x14ac:dyDescent="0.2">
      <c r="B9" s="5" t="s">
        <v>6</v>
      </c>
      <c r="C9" s="6">
        <v>0.2</v>
      </c>
      <c r="D9" s="6">
        <v>0.5</v>
      </c>
      <c r="E9" s="6">
        <v>0.1</v>
      </c>
      <c r="F9" s="6">
        <v>0.1</v>
      </c>
      <c r="G9" s="6">
        <v>0</v>
      </c>
      <c r="H9" s="6">
        <v>0.1</v>
      </c>
      <c r="I9" s="8">
        <f>SUM(tblParameters[[#This Row],[ACCOUNT MANAGER]:[ADMIN STAFF]])</f>
        <v>0.99999999999999989</v>
      </c>
    </row>
    <row r="10" spans="2:9" x14ac:dyDescent="0.2">
      <c r="B10" s="5" t="s">
        <v>7</v>
      </c>
      <c r="C10" s="6">
        <v>0.2</v>
      </c>
      <c r="D10" s="6">
        <v>0.2</v>
      </c>
      <c r="E10" s="6">
        <v>0</v>
      </c>
      <c r="F10" s="6">
        <v>0.5</v>
      </c>
      <c r="G10" s="6">
        <v>0</v>
      </c>
      <c r="H10" s="6">
        <v>0.1</v>
      </c>
      <c r="I10" s="8">
        <f>SUM(tblParameters[[#This Row],[ACCOUNT MANAGER]:[ADMIN STAFF]])</f>
        <v>1</v>
      </c>
    </row>
    <row r="11" spans="2:9" x14ac:dyDescent="0.2">
      <c r="B11" s="5" t="s">
        <v>8</v>
      </c>
      <c r="C11" s="6">
        <v>0.2</v>
      </c>
      <c r="D11" s="6">
        <v>0.6</v>
      </c>
      <c r="E11" s="6">
        <v>0</v>
      </c>
      <c r="F11" s="6">
        <v>0</v>
      </c>
      <c r="G11" s="6">
        <v>0.1</v>
      </c>
      <c r="H11" s="6">
        <v>0.1</v>
      </c>
      <c r="I11" s="8">
        <f>SUM(tblParameters[[#This Row],[ACCOUNT MANAGER]:[ADMIN STAFF]])</f>
        <v>1</v>
      </c>
    </row>
    <row r="12" spans="2:9" x14ac:dyDescent="0.2">
      <c r="B12" s="5" t="s">
        <v>9</v>
      </c>
      <c r="C12" s="6">
        <v>0.2</v>
      </c>
      <c r="D12" s="6">
        <v>0.1</v>
      </c>
      <c r="E12" s="6">
        <v>0</v>
      </c>
      <c r="F12" s="6">
        <v>0</v>
      </c>
      <c r="G12" s="6">
        <v>0.6</v>
      </c>
      <c r="H12" s="6">
        <v>0.1</v>
      </c>
      <c r="I12" s="8">
        <f>SUM(tblParameters[[#This Row],[ACCOUNT MANAGER]:[ADMIN STAFF]])</f>
        <v>1</v>
      </c>
    </row>
    <row r="13" spans="2:9" x14ac:dyDescent="0.2">
      <c r="B13" s="5" t="s">
        <v>10</v>
      </c>
      <c r="C13" s="6">
        <v>0.2</v>
      </c>
      <c r="D13" s="6">
        <v>0.2</v>
      </c>
      <c r="E13" s="6">
        <v>0.2</v>
      </c>
      <c r="F13" s="6">
        <v>0.2</v>
      </c>
      <c r="G13" s="6">
        <v>0</v>
      </c>
      <c r="H13" s="6">
        <v>0.2</v>
      </c>
      <c r="I13" s="8">
        <f>SUM(tblParameters[[#This Row],[ACCOUNT MANAGER]:[ADMIN STAFF]])</f>
        <v>1</v>
      </c>
    </row>
    <row r="14" spans="2:9" x14ac:dyDescent="0.2">
      <c r="B14" s="5" t="s">
        <v>11</v>
      </c>
      <c r="C14" s="7">
        <v>180</v>
      </c>
      <c r="D14" s="7">
        <v>120</v>
      </c>
      <c r="E14" s="7">
        <v>150</v>
      </c>
      <c r="F14" s="7">
        <v>100</v>
      </c>
      <c r="G14" s="7">
        <v>80</v>
      </c>
      <c r="H14" s="7">
        <v>60</v>
      </c>
      <c r="I14" s="6"/>
    </row>
    <row r="17" spans="2:8" x14ac:dyDescent="0.2">
      <c r="B17" s="18"/>
      <c r="C17" s="18" t="s">
        <v>46</v>
      </c>
      <c r="D17" s="18" t="s">
        <v>47</v>
      </c>
      <c r="E17" s="18" t="s">
        <v>48</v>
      </c>
      <c r="F17" s="18" t="s">
        <v>49</v>
      </c>
      <c r="G17" s="18" t="s">
        <v>50</v>
      </c>
      <c r="H17" s="18" t="s">
        <v>51</v>
      </c>
    </row>
    <row r="18" spans="2:8" x14ac:dyDescent="0.2">
      <c r="B18" s="18" t="s">
        <v>72</v>
      </c>
      <c r="C18" s="19">
        <f>SUBTOTAL(109,tblDetails[ACCOUNT MANAGER])</f>
        <v>272340</v>
      </c>
      <c r="D18" s="19">
        <f>SUBTOTAL(109,tblDetails[PROJECT MANAGER])</f>
        <v>319320</v>
      </c>
      <c r="E18" s="19">
        <f>SUBTOTAL(109,tblDetails[STRATEGY MANAGER])</f>
        <v>123450</v>
      </c>
      <c r="F18" s="19">
        <f>SUBTOTAL(109,tblDetails[DESIGN SPECIALIST])</f>
        <v>106000</v>
      </c>
      <c r="G18" s="19">
        <f>SUBTOTAL(109,tblDetails[EVENT STAFF])</f>
        <v>49320</v>
      </c>
      <c r="H18" s="19">
        <f>SUBTOTAL(109,tblDetails[ADMIN STAFF])</f>
        <v>53490</v>
      </c>
    </row>
    <row r="19" spans="2:8" x14ac:dyDescent="0.2">
      <c r="B19" s="18" t="s">
        <v>74</v>
      </c>
      <c r="C19" s="19">
        <f>SUBTOTAL(109,tblDetails[[ACCOUNT MANAGER ]])</f>
        <v>273960</v>
      </c>
      <c r="D19" s="19">
        <f>SUBTOTAL(109,tblDetails[[PROJECT MANAGER ]])</f>
        <v>324540</v>
      </c>
      <c r="E19" s="19">
        <f>SUBTOTAL(109,tblDetails[[STRATEGY MANAGER ]])</f>
        <v>126150</v>
      </c>
      <c r="F19" s="19">
        <f>SUBTOTAL(109,tblDetails[[DESIGN SPECIALIST ]])</f>
        <v>104950</v>
      </c>
      <c r="G19" s="19">
        <f>SUBTOTAL(109,tblDetails[[EVENT STAFF ]])</f>
        <v>48160</v>
      </c>
      <c r="H19" s="19">
        <f>SUBTOTAL(109,tblDetails[[ADMIN STAFF ]])</f>
        <v>53460</v>
      </c>
    </row>
    <row r="20" spans="2:8" x14ac:dyDescent="0.2">
      <c r="B20" s="18" t="s">
        <v>73</v>
      </c>
      <c r="C20" s="20">
        <f>C18/$C$14</f>
        <v>1513</v>
      </c>
      <c r="D20" s="20">
        <f t="shared" ref="D20:H20" si="0">D18/$C$14</f>
        <v>1774</v>
      </c>
      <c r="E20" s="20">
        <f t="shared" si="0"/>
        <v>685.83333333333337</v>
      </c>
      <c r="F20" s="20">
        <f t="shared" si="0"/>
        <v>588.88888888888891</v>
      </c>
      <c r="G20" s="20">
        <f t="shared" si="0"/>
        <v>274</v>
      </c>
      <c r="H20" s="20">
        <f t="shared" si="0"/>
        <v>297.16666666666669</v>
      </c>
    </row>
    <row r="21" spans="2:8" x14ac:dyDescent="0.2">
      <c r="B21" s="18" t="s">
        <v>75</v>
      </c>
      <c r="C21" s="20">
        <f>C19/$C$14</f>
        <v>1522</v>
      </c>
      <c r="D21" s="20">
        <f>D19/$C$14</f>
        <v>1803</v>
      </c>
      <c r="E21" s="20">
        <f>E19/$C$14</f>
        <v>700.83333333333337</v>
      </c>
      <c r="F21" s="20">
        <f>F19/$C$14</f>
        <v>583.05555555555554</v>
      </c>
      <c r="G21" s="20">
        <f>G19/$C$14</f>
        <v>267.55555555555554</v>
      </c>
      <c r="H21" s="20">
        <f>H19/$C$14</f>
        <v>297</v>
      </c>
    </row>
  </sheetData>
  <printOptions horizontalCentered="1"/>
  <pageMargins left="0.4" right="0.4" top="0.4" bottom="0.4" header="0.3" footer="0.3"/>
  <pageSetup scale="85" orientation="landscape" horizontalDpi="4294967293"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B1:W29"/>
  <sheetViews>
    <sheetView showGridLines="0" workbookViewId="0"/>
  </sheetViews>
  <sheetFormatPr defaultRowHeight="14.25" x14ac:dyDescent="0.2"/>
  <cols>
    <col min="1" max="1" width="1.7109375" style="1" customWidth="1"/>
    <col min="2" max="2" width="25.5703125" style="1" customWidth="1"/>
    <col min="3" max="3" width="23.85546875" style="1" customWidth="1"/>
    <col min="4" max="7" width="11.85546875" style="1" customWidth="1"/>
    <col min="8" max="8" width="11.140625" style="1" bestFit="1" customWidth="1"/>
    <col min="9" max="9" width="8.140625" style="1" bestFit="1" customWidth="1"/>
    <col min="10" max="10" width="11.140625" style="1" bestFit="1" customWidth="1"/>
    <col min="11" max="11" width="10.28515625" style="1" bestFit="1" customWidth="1"/>
    <col min="12" max="13" width="10" style="1" hidden="1" customWidth="1"/>
    <col min="14" max="14" width="10.28515625" style="1" hidden="1" customWidth="1"/>
    <col min="15" max="15" width="11.42578125" style="1" hidden="1" customWidth="1"/>
    <col min="16" max="16" width="7.42578125" style="1" hidden="1" customWidth="1"/>
    <col min="17" max="17" width="7.140625" style="1" hidden="1" customWidth="1"/>
    <col min="18" max="19" width="12.28515625" style="1" hidden="1" customWidth="1"/>
    <col min="20" max="20" width="12.5703125" style="1" hidden="1" customWidth="1"/>
    <col min="21" max="21" width="13.7109375" style="1" hidden="1" customWidth="1"/>
    <col min="22" max="22" width="14.5703125" style="1" hidden="1" customWidth="1"/>
    <col min="23" max="23" width="15.42578125" style="1" hidden="1" customWidth="1"/>
    <col min="24" max="16384" width="9.140625" style="1"/>
  </cols>
  <sheetData>
    <row r="1" spans="2:23" ht="9.9499999999999993" customHeight="1" x14ac:dyDescent="0.2"/>
    <row r="2" spans="2:23" ht="25.5" x14ac:dyDescent="0.35">
      <c r="B2" s="2" t="str">
        <f>'PROJECT PARAMETERS'!B2</f>
        <v>[Company Name]</v>
      </c>
      <c r="C2" s="2"/>
      <c r="D2" s="2"/>
      <c r="E2" s="2"/>
      <c r="F2" s="2"/>
      <c r="G2" s="2"/>
      <c r="H2" s="2"/>
      <c r="I2" s="2"/>
      <c r="J2" s="2"/>
      <c r="K2" s="2"/>
    </row>
    <row r="3" spans="2:23" ht="19.5" x14ac:dyDescent="0.25">
      <c r="B3" s="3" t="s">
        <v>1</v>
      </c>
      <c r="C3" s="3"/>
      <c r="D3" s="3"/>
      <c r="E3" s="3"/>
      <c r="F3" s="3"/>
      <c r="G3" s="3"/>
      <c r="H3" s="3"/>
      <c r="I3" s="3"/>
      <c r="J3" s="3"/>
      <c r="K3" s="3"/>
    </row>
    <row r="4" spans="2:23" ht="15" x14ac:dyDescent="0.2">
      <c r="B4" s="4" t="s">
        <v>2</v>
      </c>
      <c r="C4" s="4"/>
      <c r="D4" s="4"/>
      <c r="E4" s="4"/>
      <c r="F4" s="4"/>
      <c r="G4" s="4"/>
      <c r="H4" s="4"/>
      <c r="I4" s="4"/>
      <c r="J4" s="4"/>
      <c r="K4" s="4"/>
    </row>
    <row r="5" spans="2:23" x14ac:dyDescent="0.2">
      <c r="L5" s="21" t="s">
        <v>52</v>
      </c>
      <c r="M5" s="22"/>
      <c r="N5" s="22"/>
      <c r="O5" s="22"/>
      <c r="P5" s="22"/>
      <c r="Q5" s="23"/>
      <c r="R5" s="21" t="s">
        <v>53</v>
      </c>
      <c r="S5" s="22"/>
      <c r="T5" s="22"/>
      <c r="U5" s="22"/>
      <c r="V5" s="22"/>
      <c r="W5" s="23"/>
    </row>
    <row r="6" spans="2:23" ht="25.5" x14ac:dyDescent="0.2">
      <c r="B6" s="16" t="s">
        <v>37</v>
      </c>
      <c r="C6" s="16" t="s">
        <v>38</v>
      </c>
      <c r="D6" s="16" t="s">
        <v>39</v>
      </c>
      <c r="E6" s="16" t="s">
        <v>40</v>
      </c>
      <c r="F6" s="16" t="s">
        <v>35</v>
      </c>
      <c r="G6" s="16" t="s">
        <v>36</v>
      </c>
      <c r="H6" s="16" t="s">
        <v>41</v>
      </c>
      <c r="I6" s="16" t="s">
        <v>43</v>
      </c>
      <c r="J6" s="16" t="s">
        <v>42</v>
      </c>
      <c r="K6" s="16" t="s">
        <v>44</v>
      </c>
      <c r="L6" s="12" t="s">
        <v>46</v>
      </c>
      <c r="M6" s="12" t="s">
        <v>47</v>
      </c>
      <c r="N6" s="12" t="s">
        <v>48</v>
      </c>
      <c r="O6" s="12" t="s">
        <v>49</v>
      </c>
      <c r="P6" s="12" t="s">
        <v>50</v>
      </c>
      <c r="Q6" s="12" t="s">
        <v>51</v>
      </c>
      <c r="R6" s="10" t="s">
        <v>54</v>
      </c>
      <c r="S6" s="10" t="s">
        <v>55</v>
      </c>
      <c r="T6" s="10" t="s">
        <v>56</v>
      </c>
      <c r="U6" s="10" t="s">
        <v>57</v>
      </c>
      <c r="V6" s="10" t="s">
        <v>59</v>
      </c>
      <c r="W6" s="10" t="s">
        <v>58</v>
      </c>
    </row>
    <row r="7" spans="2:23" x14ac:dyDescent="0.2">
      <c r="B7" t="s">
        <v>12</v>
      </c>
      <c r="C7" t="s">
        <v>5</v>
      </c>
      <c r="D7" s="11">
        <v>41434</v>
      </c>
      <c r="E7" s="11">
        <v>41493</v>
      </c>
      <c r="F7" s="11">
        <v>41454</v>
      </c>
      <c r="G7" s="11">
        <v>41520</v>
      </c>
      <c r="H7">
        <v>200</v>
      </c>
      <c r="I7">
        <v>220</v>
      </c>
      <c r="J7">
        <f>DAYS360(tblDetails[[#This Row],[ESTIMATED START]],tblDetails[[#This Row],[ESTIMATED FINISH]],FALSE)</f>
        <v>58</v>
      </c>
      <c r="K7">
        <f>DAYS360(tblDetails[[#This Row],[ACTUAL START]],tblDetails[[#This Row],[ACTUAL FINISH]],FALSE)</f>
        <v>64</v>
      </c>
      <c r="L7" s="13">
        <f>INDEX(tblParameters[],MATCH(tblDetails[[#This Row],[PROJECT TYPE]],tblParameters[PROJECT TYPE],0),MATCH(tblDetails[[#Headers],[ACCOUNT MANAGER]],tblParameters[#Headers],0))*INDEX('PROJECT PARAMETERS'!$B$14:$H$14,1,MATCH(tblDetails[[#Headers],[ACCOUNT MANAGER]],tblParameters[#Headers],0))*tblDetails[[#This Row],[ESTIMATED WORK]]</f>
        <v>7200</v>
      </c>
      <c r="M7" s="13">
        <f>INDEX(tblParameters[],MATCH(tblDetails[[#This Row],[PROJECT TYPE]],tblParameters[PROJECT TYPE],0),MATCH(tblDetails[[#Headers],[PROJECT MANAGER]],tblParameters[#Headers],0))*INDEX('PROJECT PARAMETERS'!$B$14:$H$14,1,MATCH(tblDetails[[#Headers],[PROJECT MANAGER]],tblParameters[#Headers],0))*tblDetails[[#This Row],[ESTIMATED WORK]]</f>
        <v>2400</v>
      </c>
      <c r="N7" s="13">
        <f>INDEX(tblParameters[],MATCH(tblDetails[[#This Row],[PROJECT TYPE]],tblParameters[PROJECT TYPE],0),MATCH(tblDetails[[#Headers],[STRATEGY MANAGER]],tblParameters[#Headers],0))*INDEX('PROJECT PARAMETERS'!$B$14:$H$14,1,MATCH(tblDetails[[#Headers],[STRATEGY MANAGER]],tblParameters[#Headers],0))*tblDetails[[#This Row],[ESTIMATED WORK]]</f>
        <v>18000</v>
      </c>
      <c r="O7" s="13">
        <f>INDEX(tblParameters[],MATCH(tblDetails[[#This Row],[PROJECT TYPE]],tblParameters[PROJECT TYPE],0),MATCH(tblDetails[[#Headers],[DESIGN SPECIALIST]],tblParameters[#Headers],0))*INDEX('PROJECT PARAMETERS'!$B$14:$H$14,1,MATCH(tblDetails[[#Headers],[DESIGN SPECIALIST]],tblParameters[#Headers],0))*tblDetails[[#This Row],[ESTIMATED WORK]]</f>
        <v>0</v>
      </c>
      <c r="P7" s="13">
        <f>INDEX(tblParameters[],MATCH(tblDetails[[#This Row],[PROJECT TYPE]],tblParameters[PROJECT TYPE],0),MATCH(tblDetails[[#Headers],[EVENT STAFF]],tblParameters[#Headers],0))*INDEX('PROJECT PARAMETERS'!$B$14:$H$14,1,MATCH(tblDetails[[#Headers],[EVENT STAFF]],tblParameters[#Headers],0))*tblDetails[[#This Row],[ESTIMATED WORK]]</f>
        <v>0</v>
      </c>
      <c r="Q7" s="13">
        <f>INDEX(tblParameters[],MATCH(tblDetails[[#This Row],[PROJECT TYPE]],tblParameters[PROJECT TYPE],0),MATCH(tblDetails[[#Headers],[ADMIN STAFF]],tblParameters[#Headers],0))*INDEX('PROJECT PARAMETERS'!$B$14:$H$14,1,MATCH(tblDetails[[#Headers],[ADMIN STAFF]],tblParameters[#Headers],0))*tblDetails[[#This Row],[ESTIMATED WORK]]</f>
        <v>1200</v>
      </c>
      <c r="R7" s="13">
        <f>INDEX(tblParameters[],MATCH(tblDetails[[#This Row],[PROJECT TYPE]],tblParameters[PROJECT TYPE],0),MATCH(tblDetails[[#Headers],[ACCOUNT MANAGER]],tblParameters[#Headers],0))*INDEX('PROJECT PARAMETERS'!$B$14:$H$14,1,MATCH(tblDetails[[#Headers],[ACCOUNT MANAGER]],tblParameters[#Headers],0))*tblDetails[[#This Row],[ACTUAL WORK]]</f>
        <v>7920</v>
      </c>
      <c r="S7" s="13">
        <f>INDEX(tblParameters[],MATCH(tblDetails[[#This Row],[PROJECT TYPE]],tblParameters[PROJECT TYPE],0),MATCH(tblDetails[[#Headers],[PROJECT MANAGER]],tblParameters[#Headers],0))*INDEX('PROJECT PARAMETERS'!$B$14:$H$14,1,MATCH(tblDetails[[#Headers],[PROJECT MANAGER]],tblParameters[#Headers],0))*tblDetails[[#This Row],[ACTUAL WORK]]</f>
        <v>2640</v>
      </c>
      <c r="T7" s="13">
        <f>INDEX(tblParameters[],MATCH(tblDetails[[#This Row],[PROJECT TYPE]],tblParameters[PROJECT TYPE],0),MATCH(tblDetails[[#Headers],[STRATEGY MANAGER]],tblParameters[#Headers],0))*INDEX('PROJECT PARAMETERS'!$B$14:$H$14,1,MATCH(tblDetails[[#Headers],[STRATEGY MANAGER]],tblParameters[#Headers],0))*tblDetails[[#This Row],[ACTUAL WORK]]</f>
        <v>19800</v>
      </c>
      <c r="U7" s="13">
        <f>INDEX(tblParameters[],MATCH(tblDetails[[#This Row],[PROJECT TYPE]],tblParameters[PROJECT TYPE],0),MATCH(tblDetails[[#Headers],[DESIGN SPECIALIST]],tblParameters[#Headers],0))*INDEX('PROJECT PARAMETERS'!$B$14:$H$14,1,MATCH(tblDetails[[#Headers],[DESIGN SPECIALIST]],tblParameters[#Headers],0))*tblDetails[[#This Row],[ACTUAL WORK]]</f>
        <v>0</v>
      </c>
      <c r="V7" s="13">
        <f>INDEX(tblParameters[],MATCH(tblDetails[[#This Row],[PROJECT TYPE]],tblParameters[PROJECT TYPE],0),MATCH(tblDetails[[#Headers],[EVENT STAFF]],tblParameters[#Headers],0))*INDEX('PROJECT PARAMETERS'!$B$14:$H$14,1,MATCH(tblDetails[[#Headers],[EVENT STAFF]],tblParameters[#Headers],0))*tblDetails[[#This Row],[ACTUAL WORK]]</f>
        <v>0</v>
      </c>
      <c r="W7" s="13">
        <f>INDEX(tblParameters[],MATCH(tblDetails[[#This Row],[PROJECT TYPE]],tblParameters[PROJECT TYPE],0),MATCH(tblDetails[[#Headers],[ADMIN STAFF]],tblParameters[#Headers],0))*INDEX('PROJECT PARAMETERS'!$B$14:$H$14,1,MATCH(tblDetails[[#Headers],[ADMIN STAFF]],tblParameters[#Headers],0))*tblDetails[[#This Row],[ACTUAL WORK]]</f>
        <v>1320</v>
      </c>
    </row>
    <row r="8" spans="2:23" x14ac:dyDescent="0.2">
      <c r="B8" t="s">
        <v>13</v>
      </c>
      <c r="C8" t="s">
        <v>6</v>
      </c>
      <c r="D8" s="11">
        <v>41450</v>
      </c>
      <c r="E8" s="11">
        <v>41482</v>
      </c>
      <c r="F8" s="11">
        <v>41470</v>
      </c>
      <c r="G8" s="11">
        <v>41511</v>
      </c>
      <c r="H8">
        <v>400</v>
      </c>
      <c r="I8">
        <v>390</v>
      </c>
      <c r="J8">
        <f>DAYS360(tblDetails[[#This Row],[ESTIMATED START]],tblDetails[[#This Row],[ESTIMATED FINISH]],FALSE)</f>
        <v>32</v>
      </c>
      <c r="K8">
        <f>DAYS360(tblDetails[[#This Row],[ACTUAL START]],tblDetails[[#This Row],[ACTUAL FINISH]],FALSE)</f>
        <v>40</v>
      </c>
      <c r="L8" s="13">
        <f>INDEX(tblParameters[],MATCH(tblDetails[[#This Row],[PROJECT TYPE]],tblParameters[PROJECT TYPE],0),MATCH(tblDetails[[#Headers],[ACCOUNT MANAGER]],tblParameters[#Headers],0))*INDEX('PROJECT PARAMETERS'!$B$14:$H$14,1,MATCH(tblDetails[[#Headers],[ACCOUNT MANAGER]],tblParameters[#Headers],0))*tblDetails[[#This Row],[ESTIMATED WORK]]</f>
        <v>14400</v>
      </c>
      <c r="M8" s="13">
        <f>INDEX(tblParameters[],MATCH(tblDetails[[#This Row],[PROJECT TYPE]],tblParameters[PROJECT TYPE],0),MATCH(tblDetails[[#Headers],[PROJECT MANAGER]],tblParameters[#Headers],0))*INDEX('PROJECT PARAMETERS'!$B$14:$H$14,1,MATCH(tblDetails[[#Headers],[PROJECT MANAGER]],tblParameters[#Headers],0))*tblDetails[[#This Row],[ESTIMATED WORK]]</f>
        <v>24000</v>
      </c>
      <c r="N8" s="13">
        <f>INDEX(tblParameters[],MATCH(tblDetails[[#This Row],[PROJECT TYPE]],tblParameters[PROJECT TYPE],0),MATCH(tblDetails[[#Headers],[STRATEGY MANAGER]],tblParameters[#Headers],0))*INDEX('PROJECT PARAMETERS'!$B$14:$H$14,1,MATCH(tblDetails[[#Headers],[STRATEGY MANAGER]],tblParameters[#Headers],0))*tblDetails[[#This Row],[ESTIMATED WORK]]</f>
        <v>6000</v>
      </c>
      <c r="O8" s="13">
        <f>INDEX(tblParameters[],MATCH(tblDetails[[#This Row],[PROJECT TYPE]],tblParameters[PROJECT TYPE],0),MATCH(tblDetails[[#Headers],[DESIGN SPECIALIST]],tblParameters[#Headers],0))*INDEX('PROJECT PARAMETERS'!$B$14:$H$14,1,MATCH(tblDetails[[#Headers],[DESIGN SPECIALIST]],tblParameters[#Headers],0))*tblDetails[[#This Row],[ESTIMATED WORK]]</f>
        <v>4000</v>
      </c>
      <c r="P8" s="13">
        <f>INDEX(tblParameters[],MATCH(tblDetails[[#This Row],[PROJECT TYPE]],tblParameters[PROJECT TYPE],0),MATCH(tblDetails[[#Headers],[EVENT STAFF]],tblParameters[#Headers],0))*INDEX('PROJECT PARAMETERS'!$B$14:$H$14,1,MATCH(tblDetails[[#Headers],[EVENT STAFF]],tblParameters[#Headers],0))*tblDetails[[#This Row],[ESTIMATED WORK]]</f>
        <v>0</v>
      </c>
      <c r="Q8" s="13">
        <f>INDEX(tblParameters[],MATCH(tblDetails[[#This Row],[PROJECT TYPE]],tblParameters[PROJECT TYPE],0),MATCH(tblDetails[[#Headers],[ADMIN STAFF]],tblParameters[#Headers],0))*INDEX('PROJECT PARAMETERS'!$B$14:$H$14,1,MATCH(tblDetails[[#Headers],[ADMIN STAFF]],tblParameters[#Headers],0))*tblDetails[[#This Row],[ESTIMATED WORK]]</f>
        <v>2400</v>
      </c>
      <c r="R8" s="13">
        <f>INDEX(tblParameters[],MATCH(tblDetails[[#This Row],[PROJECT TYPE]],tblParameters[PROJECT TYPE],0),MATCH(tblDetails[[#Headers],[ACCOUNT MANAGER]],tblParameters[#Headers],0))*INDEX('PROJECT PARAMETERS'!$B$14:$H$14,1,MATCH(tblDetails[[#Headers],[ACCOUNT MANAGER]],tblParameters[#Headers],0))*tblDetails[[#This Row],[ACTUAL WORK]]</f>
        <v>14040</v>
      </c>
      <c r="S8" s="13">
        <f>INDEX(tblParameters[],MATCH(tblDetails[[#This Row],[PROJECT TYPE]],tblParameters[PROJECT TYPE],0),MATCH(tblDetails[[#Headers],[PROJECT MANAGER]],tblParameters[#Headers],0))*INDEX('PROJECT PARAMETERS'!$B$14:$H$14,1,MATCH(tblDetails[[#Headers],[PROJECT MANAGER]],tblParameters[#Headers],0))*tblDetails[[#This Row],[ACTUAL WORK]]</f>
        <v>23400</v>
      </c>
      <c r="T8" s="13">
        <f>INDEX(tblParameters[],MATCH(tblDetails[[#This Row],[PROJECT TYPE]],tblParameters[PROJECT TYPE],0),MATCH(tblDetails[[#Headers],[STRATEGY MANAGER]],tblParameters[#Headers],0))*INDEX('PROJECT PARAMETERS'!$B$14:$H$14,1,MATCH(tblDetails[[#Headers],[STRATEGY MANAGER]],tblParameters[#Headers],0))*tblDetails[[#This Row],[ACTUAL WORK]]</f>
        <v>5850</v>
      </c>
      <c r="U8" s="13">
        <f>INDEX(tblParameters[],MATCH(tblDetails[[#This Row],[PROJECT TYPE]],tblParameters[PROJECT TYPE],0),MATCH(tblDetails[[#Headers],[DESIGN SPECIALIST]],tblParameters[#Headers],0))*INDEX('PROJECT PARAMETERS'!$B$14:$H$14,1,MATCH(tblDetails[[#Headers],[DESIGN SPECIALIST]],tblParameters[#Headers],0))*tblDetails[[#This Row],[ACTUAL WORK]]</f>
        <v>3900</v>
      </c>
      <c r="V8" s="13">
        <f>INDEX(tblParameters[],MATCH(tblDetails[[#This Row],[PROJECT TYPE]],tblParameters[PROJECT TYPE],0),MATCH(tblDetails[[#Headers],[EVENT STAFF]],tblParameters[#Headers],0))*INDEX('PROJECT PARAMETERS'!$B$14:$H$14,1,MATCH(tblDetails[[#Headers],[EVENT STAFF]],tblParameters[#Headers],0))*tblDetails[[#This Row],[ACTUAL WORK]]</f>
        <v>0</v>
      </c>
      <c r="W8" s="13">
        <f>INDEX(tblParameters[],MATCH(tblDetails[[#This Row],[PROJECT TYPE]],tblParameters[PROJECT TYPE],0),MATCH(tblDetails[[#Headers],[ADMIN STAFF]],tblParameters[#Headers],0))*INDEX('PROJECT PARAMETERS'!$B$14:$H$14,1,MATCH(tblDetails[[#Headers],[ADMIN STAFF]],tblParameters[#Headers],0))*tblDetails[[#This Row],[ACTUAL WORK]]</f>
        <v>2340</v>
      </c>
    </row>
    <row r="9" spans="2:23" x14ac:dyDescent="0.2">
      <c r="B9" t="s">
        <v>14</v>
      </c>
      <c r="C9" t="s">
        <v>7</v>
      </c>
      <c r="D9" s="11">
        <v>41467</v>
      </c>
      <c r="E9" s="11">
        <v>41536</v>
      </c>
      <c r="F9" s="11">
        <v>41493</v>
      </c>
      <c r="G9" s="11">
        <v>41557</v>
      </c>
      <c r="H9">
        <v>500</v>
      </c>
      <c r="I9">
        <v>500</v>
      </c>
      <c r="J9">
        <f>DAYS360(tblDetails[[#This Row],[ESTIMATED START]],tblDetails[[#This Row],[ESTIMATED FINISH]],FALSE)</f>
        <v>67</v>
      </c>
      <c r="K9">
        <f>DAYS360(tblDetails[[#This Row],[ACTUAL START]],tblDetails[[#This Row],[ACTUAL FINISH]],FALSE)</f>
        <v>63</v>
      </c>
      <c r="L9" s="13">
        <f>INDEX(tblParameters[],MATCH(tblDetails[[#This Row],[PROJECT TYPE]],tblParameters[PROJECT TYPE],0),MATCH(tblDetails[[#Headers],[ACCOUNT MANAGER]],tblParameters[#Headers],0))*INDEX('PROJECT PARAMETERS'!$B$14:$H$14,1,MATCH(tblDetails[[#Headers],[ACCOUNT MANAGER]],tblParameters[#Headers],0))*tblDetails[[#This Row],[ESTIMATED WORK]]</f>
        <v>18000</v>
      </c>
      <c r="M9" s="13">
        <f>INDEX(tblParameters[],MATCH(tblDetails[[#This Row],[PROJECT TYPE]],tblParameters[PROJECT TYPE],0),MATCH(tblDetails[[#Headers],[PROJECT MANAGER]],tblParameters[#Headers],0))*INDEX('PROJECT PARAMETERS'!$B$14:$H$14,1,MATCH(tblDetails[[#Headers],[PROJECT MANAGER]],tblParameters[#Headers],0))*tblDetails[[#This Row],[ESTIMATED WORK]]</f>
        <v>12000</v>
      </c>
      <c r="N9" s="13">
        <f>INDEX(tblParameters[],MATCH(tblDetails[[#This Row],[PROJECT TYPE]],tblParameters[PROJECT TYPE],0),MATCH(tblDetails[[#Headers],[STRATEGY MANAGER]],tblParameters[#Headers],0))*INDEX('PROJECT PARAMETERS'!$B$14:$H$14,1,MATCH(tblDetails[[#Headers],[STRATEGY MANAGER]],tblParameters[#Headers],0))*tblDetails[[#This Row],[ESTIMATED WORK]]</f>
        <v>0</v>
      </c>
      <c r="O9" s="13">
        <f>INDEX(tblParameters[],MATCH(tblDetails[[#This Row],[PROJECT TYPE]],tblParameters[PROJECT TYPE],0),MATCH(tblDetails[[#Headers],[DESIGN SPECIALIST]],tblParameters[#Headers],0))*INDEX('PROJECT PARAMETERS'!$B$14:$H$14,1,MATCH(tblDetails[[#Headers],[DESIGN SPECIALIST]],tblParameters[#Headers],0))*tblDetails[[#This Row],[ESTIMATED WORK]]</f>
        <v>25000</v>
      </c>
      <c r="P9" s="13">
        <f>INDEX(tblParameters[],MATCH(tblDetails[[#This Row],[PROJECT TYPE]],tblParameters[PROJECT TYPE],0),MATCH(tblDetails[[#Headers],[EVENT STAFF]],tblParameters[#Headers],0))*INDEX('PROJECT PARAMETERS'!$B$14:$H$14,1,MATCH(tblDetails[[#Headers],[EVENT STAFF]],tblParameters[#Headers],0))*tblDetails[[#This Row],[ESTIMATED WORK]]</f>
        <v>0</v>
      </c>
      <c r="Q9" s="13">
        <f>INDEX(tblParameters[],MATCH(tblDetails[[#This Row],[PROJECT TYPE]],tblParameters[PROJECT TYPE],0),MATCH(tblDetails[[#Headers],[ADMIN STAFF]],tblParameters[#Headers],0))*INDEX('PROJECT PARAMETERS'!$B$14:$H$14,1,MATCH(tblDetails[[#Headers],[ADMIN STAFF]],tblParameters[#Headers],0))*tblDetails[[#This Row],[ESTIMATED WORK]]</f>
        <v>3000</v>
      </c>
      <c r="R9" s="13">
        <f>INDEX(tblParameters[],MATCH(tblDetails[[#This Row],[PROJECT TYPE]],tblParameters[PROJECT TYPE],0),MATCH(tblDetails[[#Headers],[ACCOUNT MANAGER]],tblParameters[#Headers],0))*INDEX('PROJECT PARAMETERS'!$B$14:$H$14,1,MATCH(tblDetails[[#Headers],[ACCOUNT MANAGER]],tblParameters[#Headers],0))*tblDetails[[#This Row],[ACTUAL WORK]]</f>
        <v>18000</v>
      </c>
      <c r="S9" s="13">
        <f>INDEX(tblParameters[],MATCH(tblDetails[[#This Row],[PROJECT TYPE]],tblParameters[PROJECT TYPE],0),MATCH(tblDetails[[#Headers],[PROJECT MANAGER]],tblParameters[#Headers],0))*INDEX('PROJECT PARAMETERS'!$B$14:$H$14,1,MATCH(tblDetails[[#Headers],[PROJECT MANAGER]],tblParameters[#Headers],0))*tblDetails[[#This Row],[ACTUAL WORK]]</f>
        <v>12000</v>
      </c>
      <c r="T9" s="13">
        <f>INDEX(tblParameters[],MATCH(tblDetails[[#This Row],[PROJECT TYPE]],tblParameters[PROJECT TYPE],0),MATCH(tblDetails[[#Headers],[STRATEGY MANAGER]],tblParameters[#Headers],0))*INDEX('PROJECT PARAMETERS'!$B$14:$H$14,1,MATCH(tblDetails[[#Headers],[STRATEGY MANAGER]],tblParameters[#Headers],0))*tblDetails[[#This Row],[ACTUAL WORK]]</f>
        <v>0</v>
      </c>
      <c r="U9" s="13">
        <f>INDEX(tblParameters[],MATCH(tblDetails[[#This Row],[PROJECT TYPE]],tblParameters[PROJECT TYPE],0),MATCH(tblDetails[[#Headers],[DESIGN SPECIALIST]],tblParameters[#Headers],0))*INDEX('PROJECT PARAMETERS'!$B$14:$H$14,1,MATCH(tblDetails[[#Headers],[DESIGN SPECIALIST]],tblParameters[#Headers],0))*tblDetails[[#This Row],[ACTUAL WORK]]</f>
        <v>25000</v>
      </c>
      <c r="V9" s="13">
        <f>INDEX(tblParameters[],MATCH(tblDetails[[#This Row],[PROJECT TYPE]],tblParameters[PROJECT TYPE],0),MATCH(tblDetails[[#Headers],[EVENT STAFF]],tblParameters[#Headers],0))*INDEX('PROJECT PARAMETERS'!$B$14:$H$14,1,MATCH(tblDetails[[#Headers],[EVENT STAFF]],tblParameters[#Headers],0))*tblDetails[[#This Row],[ACTUAL WORK]]</f>
        <v>0</v>
      </c>
      <c r="W9" s="13">
        <f>INDEX(tblParameters[],MATCH(tblDetails[[#This Row],[PROJECT TYPE]],tblParameters[PROJECT TYPE],0),MATCH(tblDetails[[#Headers],[ADMIN STAFF]],tblParameters[#Headers],0))*INDEX('PROJECT PARAMETERS'!$B$14:$H$14,1,MATCH(tblDetails[[#Headers],[ADMIN STAFF]],tblParameters[#Headers],0))*tblDetails[[#This Row],[ACTUAL WORK]]</f>
        <v>3000</v>
      </c>
    </row>
    <row r="10" spans="2:23" x14ac:dyDescent="0.2">
      <c r="B10" t="s">
        <v>15</v>
      </c>
      <c r="C10" t="s">
        <v>8</v>
      </c>
      <c r="D10" s="11">
        <v>41485</v>
      </c>
      <c r="E10" s="11">
        <v>41545</v>
      </c>
      <c r="F10" s="11">
        <v>41531</v>
      </c>
      <c r="G10" s="11">
        <v>41591</v>
      </c>
      <c r="H10">
        <v>150</v>
      </c>
      <c r="I10">
        <v>145</v>
      </c>
      <c r="J10">
        <f>DAYS360(tblDetails[[#This Row],[ESTIMATED START]],tblDetails[[#This Row],[ESTIMATED FINISH]],FALSE)</f>
        <v>58</v>
      </c>
      <c r="K10">
        <f>DAYS360(tblDetails[[#This Row],[ACTUAL START]],tblDetails[[#This Row],[ACTUAL FINISH]],FALSE)</f>
        <v>59</v>
      </c>
      <c r="L10" s="13">
        <f>INDEX(tblParameters[],MATCH(tblDetails[[#This Row],[PROJECT TYPE]],tblParameters[PROJECT TYPE],0),MATCH(tblDetails[[#Headers],[ACCOUNT MANAGER]],tblParameters[#Headers],0))*INDEX('PROJECT PARAMETERS'!$B$14:$H$14,1,MATCH(tblDetails[[#Headers],[ACCOUNT MANAGER]],tblParameters[#Headers],0))*tblDetails[[#This Row],[ESTIMATED WORK]]</f>
        <v>5400</v>
      </c>
      <c r="M10" s="13">
        <f>INDEX(tblParameters[],MATCH(tblDetails[[#This Row],[PROJECT TYPE]],tblParameters[PROJECT TYPE],0),MATCH(tblDetails[[#Headers],[PROJECT MANAGER]],tblParameters[#Headers],0))*INDEX('PROJECT PARAMETERS'!$B$14:$H$14,1,MATCH(tblDetails[[#Headers],[PROJECT MANAGER]],tblParameters[#Headers],0))*tblDetails[[#This Row],[ESTIMATED WORK]]</f>
        <v>10800</v>
      </c>
      <c r="N10" s="13">
        <f>INDEX(tblParameters[],MATCH(tblDetails[[#This Row],[PROJECT TYPE]],tblParameters[PROJECT TYPE],0),MATCH(tblDetails[[#Headers],[STRATEGY MANAGER]],tblParameters[#Headers],0))*INDEX('PROJECT PARAMETERS'!$B$14:$H$14,1,MATCH(tblDetails[[#Headers],[STRATEGY MANAGER]],tblParameters[#Headers],0))*tblDetails[[#This Row],[ESTIMATED WORK]]</f>
        <v>0</v>
      </c>
      <c r="O10" s="13">
        <f>INDEX(tblParameters[],MATCH(tblDetails[[#This Row],[PROJECT TYPE]],tblParameters[PROJECT TYPE],0),MATCH(tblDetails[[#Headers],[DESIGN SPECIALIST]],tblParameters[#Headers],0))*INDEX('PROJECT PARAMETERS'!$B$14:$H$14,1,MATCH(tblDetails[[#Headers],[DESIGN SPECIALIST]],tblParameters[#Headers],0))*tblDetails[[#This Row],[ESTIMATED WORK]]</f>
        <v>0</v>
      </c>
      <c r="P10" s="13">
        <f>INDEX(tblParameters[],MATCH(tblDetails[[#This Row],[PROJECT TYPE]],tblParameters[PROJECT TYPE],0),MATCH(tblDetails[[#Headers],[EVENT STAFF]],tblParameters[#Headers],0))*INDEX('PROJECT PARAMETERS'!$B$14:$H$14,1,MATCH(tblDetails[[#Headers],[EVENT STAFF]],tblParameters[#Headers],0))*tblDetails[[#This Row],[ESTIMATED WORK]]</f>
        <v>1200</v>
      </c>
      <c r="Q10" s="13">
        <f>INDEX(tblParameters[],MATCH(tblDetails[[#This Row],[PROJECT TYPE]],tblParameters[PROJECT TYPE],0),MATCH(tblDetails[[#Headers],[ADMIN STAFF]],tblParameters[#Headers],0))*INDEX('PROJECT PARAMETERS'!$B$14:$H$14,1,MATCH(tblDetails[[#Headers],[ADMIN STAFF]],tblParameters[#Headers],0))*tblDetails[[#This Row],[ESTIMATED WORK]]</f>
        <v>900</v>
      </c>
      <c r="R10" s="13">
        <f>INDEX(tblParameters[],MATCH(tblDetails[[#This Row],[PROJECT TYPE]],tblParameters[PROJECT TYPE],0),MATCH(tblDetails[[#Headers],[ACCOUNT MANAGER]],tblParameters[#Headers],0))*INDEX('PROJECT PARAMETERS'!$B$14:$H$14,1,MATCH(tblDetails[[#Headers],[ACCOUNT MANAGER]],tblParameters[#Headers],0))*tblDetails[[#This Row],[ACTUAL WORK]]</f>
        <v>5220</v>
      </c>
      <c r="S10" s="13">
        <f>INDEX(tblParameters[],MATCH(tblDetails[[#This Row],[PROJECT TYPE]],tblParameters[PROJECT TYPE],0),MATCH(tblDetails[[#Headers],[PROJECT MANAGER]],tblParameters[#Headers],0))*INDEX('PROJECT PARAMETERS'!$B$14:$H$14,1,MATCH(tblDetails[[#Headers],[PROJECT MANAGER]],tblParameters[#Headers],0))*tblDetails[[#This Row],[ACTUAL WORK]]</f>
        <v>10440</v>
      </c>
      <c r="T10" s="13">
        <f>INDEX(tblParameters[],MATCH(tblDetails[[#This Row],[PROJECT TYPE]],tblParameters[PROJECT TYPE],0),MATCH(tblDetails[[#Headers],[STRATEGY MANAGER]],tblParameters[#Headers],0))*INDEX('PROJECT PARAMETERS'!$B$14:$H$14,1,MATCH(tblDetails[[#Headers],[STRATEGY MANAGER]],tblParameters[#Headers],0))*tblDetails[[#This Row],[ACTUAL WORK]]</f>
        <v>0</v>
      </c>
      <c r="U10" s="13">
        <f>INDEX(tblParameters[],MATCH(tblDetails[[#This Row],[PROJECT TYPE]],tblParameters[PROJECT TYPE],0),MATCH(tblDetails[[#Headers],[DESIGN SPECIALIST]],tblParameters[#Headers],0))*INDEX('PROJECT PARAMETERS'!$B$14:$H$14,1,MATCH(tblDetails[[#Headers],[DESIGN SPECIALIST]],tblParameters[#Headers],0))*tblDetails[[#This Row],[ACTUAL WORK]]</f>
        <v>0</v>
      </c>
      <c r="V10" s="13">
        <f>INDEX(tblParameters[],MATCH(tblDetails[[#This Row],[PROJECT TYPE]],tblParameters[PROJECT TYPE],0),MATCH(tblDetails[[#Headers],[EVENT STAFF]],tblParameters[#Headers],0))*INDEX('PROJECT PARAMETERS'!$B$14:$H$14,1,MATCH(tblDetails[[#Headers],[EVENT STAFF]],tblParameters[#Headers],0))*tblDetails[[#This Row],[ACTUAL WORK]]</f>
        <v>1160</v>
      </c>
      <c r="W10" s="13">
        <f>INDEX(tblParameters[],MATCH(tblDetails[[#This Row],[PROJECT TYPE]],tblParameters[PROJECT TYPE],0),MATCH(tblDetails[[#Headers],[ADMIN STAFF]],tblParameters[#Headers],0))*INDEX('PROJECT PARAMETERS'!$B$14:$H$14,1,MATCH(tblDetails[[#Headers],[ADMIN STAFF]],tblParameters[#Headers],0))*tblDetails[[#This Row],[ACTUAL WORK]]</f>
        <v>870</v>
      </c>
    </row>
    <row r="11" spans="2:23" x14ac:dyDescent="0.2">
      <c r="B11" t="s">
        <v>16</v>
      </c>
      <c r="C11" t="s">
        <v>9</v>
      </c>
      <c r="D11" s="11">
        <v>41497</v>
      </c>
      <c r="E11" s="11">
        <v>41507</v>
      </c>
      <c r="F11" s="11">
        <v>41531</v>
      </c>
      <c r="G11" s="11">
        <v>41542</v>
      </c>
      <c r="H11">
        <v>250</v>
      </c>
      <c r="I11">
        <v>255</v>
      </c>
      <c r="J11">
        <f>DAYS360(tblDetails[[#This Row],[ESTIMATED START]],tblDetails[[#This Row],[ESTIMATED FINISH]],FALSE)</f>
        <v>10</v>
      </c>
      <c r="K11">
        <f>DAYS360(tblDetails[[#This Row],[ACTUAL START]],tblDetails[[#This Row],[ACTUAL FINISH]],FALSE)</f>
        <v>11</v>
      </c>
      <c r="L11" s="13">
        <f>INDEX(tblParameters[],MATCH(tblDetails[[#This Row],[PROJECT TYPE]],tblParameters[PROJECT TYPE],0),MATCH(tblDetails[[#Headers],[ACCOUNT MANAGER]],tblParameters[#Headers],0))*INDEX('PROJECT PARAMETERS'!$B$14:$H$14,1,MATCH(tblDetails[[#Headers],[ACCOUNT MANAGER]],tblParameters[#Headers],0))*tblDetails[[#This Row],[ESTIMATED WORK]]</f>
        <v>9000</v>
      </c>
      <c r="M11" s="13">
        <f>INDEX(tblParameters[],MATCH(tblDetails[[#This Row],[PROJECT TYPE]],tblParameters[PROJECT TYPE],0),MATCH(tblDetails[[#Headers],[PROJECT MANAGER]],tblParameters[#Headers],0))*INDEX('PROJECT PARAMETERS'!$B$14:$H$14,1,MATCH(tblDetails[[#Headers],[PROJECT MANAGER]],tblParameters[#Headers],0))*tblDetails[[#This Row],[ESTIMATED WORK]]</f>
        <v>3000</v>
      </c>
      <c r="N11" s="13">
        <f>INDEX(tblParameters[],MATCH(tblDetails[[#This Row],[PROJECT TYPE]],tblParameters[PROJECT TYPE],0),MATCH(tblDetails[[#Headers],[STRATEGY MANAGER]],tblParameters[#Headers],0))*INDEX('PROJECT PARAMETERS'!$B$14:$H$14,1,MATCH(tblDetails[[#Headers],[STRATEGY MANAGER]],tblParameters[#Headers],0))*tblDetails[[#This Row],[ESTIMATED WORK]]</f>
        <v>0</v>
      </c>
      <c r="O11" s="13">
        <f>INDEX(tblParameters[],MATCH(tblDetails[[#This Row],[PROJECT TYPE]],tblParameters[PROJECT TYPE],0),MATCH(tblDetails[[#Headers],[DESIGN SPECIALIST]],tblParameters[#Headers],0))*INDEX('PROJECT PARAMETERS'!$B$14:$H$14,1,MATCH(tblDetails[[#Headers],[DESIGN SPECIALIST]],tblParameters[#Headers],0))*tblDetails[[#This Row],[ESTIMATED WORK]]</f>
        <v>0</v>
      </c>
      <c r="P11" s="13">
        <f>INDEX(tblParameters[],MATCH(tblDetails[[#This Row],[PROJECT TYPE]],tblParameters[PROJECT TYPE],0),MATCH(tblDetails[[#Headers],[EVENT STAFF]],tblParameters[#Headers],0))*INDEX('PROJECT PARAMETERS'!$B$14:$H$14,1,MATCH(tblDetails[[#Headers],[EVENT STAFF]],tblParameters[#Headers],0))*tblDetails[[#This Row],[ESTIMATED WORK]]</f>
        <v>12000</v>
      </c>
      <c r="Q11" s="13">
        <f>INDEX(tblParameters[],MATCH(tblDetails[[#This Row],[PROJECT TYPE]],tblParameters[PROJECT TYPE],0),MATCH(tblDetails[[#Headers],[ADMIN STAFF]],tblParameters[#Headers],0))*INDEX('PROJECT PARAMETERS'!$B$14:$H$14,1,MATCH(tblDetails[[#Headers],[ADMIN STAFF]],tblParameters[#Headers],0))*tblDetails[[#This Row],[ESTIMATED WORK]]</f>
        <v>1500</v>
      </c>
      <c r="R11" s="13">
        <f>INDEX(tblParameters[],MATCH(tblDetails[[#This Row],[PROJECT TYPE]],tblParameters[PROJECT TYPE],0),MATCH(tblDetails[[#Headers],[ACCOUNT MANAGER]],tblParameters[#Headers],0))*INDEX('PROJECT PARAMETERS'!$B$14:$H$14,1,MATCH(tblDetails[[#Headers],[ACCOUNT MANAGER]],tblParameters[#Headers],0))*tblDetails[[#This Row],[ACTUAL WORK]]</f>
        <v>9180</v>
      </c>
      <c r="S11" s="13">
        <f>INDEX(tblParameters[],MATCH(tblDetails[[#This Row],[PROJECT TYPE]],tblParameters[PROJECT TYPE],0),MATCH(tblDetails[[#Headers],[PROJECT MANAGER]],tblParameters[#Headers],0))*INDEX('PROJECT PARAMETERS'!$B$14:$H$14,1,MATCH(tblDetails[[#Headers],[PROJECT MANAGER]],tblParameters[#Headers],0))*tblDetails[[#This Row],[ACTUAL WORK]]</f>
        <v>3060</v>
      </c>
      <c r="T11" s="13">
        <f>INDEX(tblParameters[],MATCH(tblDetails[[#This Row],[PROJECT TYPE]],tblParameters[PROJECT TYPE],0),MATCH(tblDetails[[#Headers],[STRATEGY MANAGER]],tblParameters[#Headers],0))*INDEX('PROJECT PARAMETERS'!$B$14:$H$14,1,MATCH(tblDetails[[#Headers],[STRATEGY MANAGER]],tblParameters[#Headers],0))*tblDetails[[#This Row],[ACTUAL WORK]]</f>
        <v>0</v>
      </c>
      <c r="U11" s="13">
        <f>INDEX(tblParameters[],MATCH(tblDetails[[#This Row],[PROJECT TYPE]],tblParameters[PROJECT TYPE],0),MATCH(tblDetails[[#Headers],[DESIGN SPECIALIST]],tblParameters[#Headers],0))*INDEX('PROJECT PARAMETERS'!$B$14:$H$14,1,MATCH(tblDetails[[#Headers],[DESIGN SPECIALIST]],tblParameters[#Headers],0))*tblDetails[[#This Row],[ACTUAL WORK]]</f>
        <v>0</v>
      </c>
      <c r="V11" s="13">
        <f>INDEX(tblParameters[],MATCH(tblDetails[[#This Row],[PROJECT TYPE]],tblParameters[PROJECT TYPE],0),MATCH(tblDetails[[#Headers],[EVENT STAFF]],tblParameters[#Headers],0))*INDEX('PROJECT PARAMETERS'!$B$14:$H$14,1,MATCH(tblDetails[[#Headers],[EVENT STAFF]],tblParameters[#Headers],0))*tblDetails[[#This Row],[ACTUAL WORK]]</f>
        <v>12240</v>
      </c>
      <c r="W11" s="13">
        <f>INDEX(tblParameters[],MATCH(tblDetails[[#This Row],[PROJECT TYPE]],tblParameters[PROJECT TYPE],0),MATCH(tblDetails[[#Headers],[ADMIN STAFF]],tblParameters[#Headers],0))*INDEX('PROJECT PARAMETERS'!$B$14:$H$14,1,MATCH(tblDetails[[#Headers],[ADMIN STAFF]],tblParameters[#Headers],0))*tblDetails[[#This Row],[ACTUAL WORK]]</f>
        <v>1530</v>
      </c>
    </row>
    <row r="12" spans="2:23" x14ac:dyDescent="0.2">
      <c r="B12" t="s">
        <v>17</v>
      </c>
      <c r="C12" t="s">
        <v>10</v>
      </c>
      <c r="D12" s="11">
        <v>41508</v>
      </c>
      <c r="E12" s="11">
        <v>41549</v>
      </c>
      <c r="F12" s="11">
        <v>41545</v>
      </c>
      <c r="G12" s="11">
        <v>41574</v>
      </c>
      <c r="H12">
        <v>300</v>
      </c>
      <c r="I12">
        <v>310</v>
      </c>
      <c r="J12">
        <f>DAYS360(tblDetails[[#This Row],[ESTIMATED START]],tblDetails[[#This Row],[ESTIMATED FINISH]],FALSE)</f>
        <v>40</v>
      </c>
      <c r="K12">
        <f>DAYS360(tblDetails[[#This Row],[ACTUAL START]],tblDetails[[#This Row],[ACTUAL FINISH]],FALSE)</f>
        <v>29</v>
      </c>
      <c r="L12" s="13">
        <f>INDEX(tblParameters[],MATCH(tblDetails[[#This Row],[PROJECT TYPE]],tblParameters[PROJECT TYPE],0),MATCH(tblDetails[[#Headers],[ACCOUNT MANAGER]],tblParameters[#Headers],0))*INDEX('PROJECT PARAMETERS'!$B$14:$H$14,1,MATCH(tblDetails[[#Headers],[ACCOUNT MANAGER]],tblParameters[#Headers],0))*tblDetails[[#This Row],[ESTIMATED WORK]]</f>
        <v>10800</v>
      </c>
      <c r="M12" s="13">
        <f>INDEX(tblParameters[],MATCH(tblDetails[[#This Row],[PROJECT TYPE]],tblParameters[PROJECT TYPE],0),MATCH(tblDetails[[#Headers],[PROJECT MANAGER]],tblParameters[#Headers],0))*INDEX('PROJECT PARAMETERS'!$B$14:$H$14,1,MATCH(tblDetails[[#Headers],[PROJECT MANAGER]],tblParameters[#Headers],0))*tblDetails[[#This Row],[ESTIMATED WORK]]</f>
        <v>7200</v>
      </c>
      <c r="N12" s="13">
        <f>INDEX(tblParameters[],MATCH(tblDetails[[#This Row],[PROJECT TYPE]],tblParameters[PROJECT TYPE],0),MATCH(tblDetails[[#Headers],[STRATEGY MANAGER]],tblParameters[#Headers],0))*INDEX('PROJECT PARAMETERS'!$B$14:$H$14,1,MATCH(tblDetails[[#Headers],[STRATEGY MANAGER]],tblParameters[#Headers],0))*tblDetails[[#This Row],[ESTIMATED WORK]]</f>
        <v>9000</v>
      </c>
      <c r="O12" s="13">
        <f>INDEX(tblParameters[],MATCH(tblDetails[[#This Row],[PROJECT TYPE]],tblParameters[PROJECT TYPE],0),MATCH(tblDetails[[#Headers],[DESIGN SPECIALIST]],tblParameters[#Headers],0))*INDEX('PROJECT PARAMETERS'!$B$14:$H$14,1,MATCH(tblDetails[[#Headers],[DESIGN SPECIALIST]],tblParameters[#Headers],0))*tblDetails[[#This Row],[ESTIMATED WORK]]</f>
        <v>6000</v>
      </c>
      <c r="P12" s="13">
        <f>INDEX(tblParameters[],MATCH(tblDetails[[#This Row],[PROJECT TYPE]],tblParameters[PROJECT TYPE],0),MATCH(tblDetails[[#Headers],[EVENT STAFF]],tblParameters[#Headers],0))*INDEX('PROJECT PARAMETERS'!$B$14:$H$14,1,MATCH(tblDetails[[#Headers],[EVENT STAFF]],tblParameters[#Headers],0))*tblDetails[[#This Row],[ESTIMATED WORK]]</f>
        <v>0</v>
      </c>
      <c r="Q12" s="13">
        <f>INDEX(tblParameters[],MATCH(tblDetails[[#This Row],[PROJECT TYPE]],tblParameters[PROJECT TYPE],0),MATCH(tblDetails[[#Headers],[ADMIN STAFF]],tblParameters[#Headers],0))*INDEX('PROJECT PARAMETERS'!$B$14:$H$14,1,MATCH(tblDetails[[#Headers],[ADMIN STAFF]],tblParameters[#Headers],0))*tblDetails[[#This Row],[ESTIMATED WORK]]</f>
        <v>3600</v>
      </c>
      <c r="R12" s="13">
        <f>INDEX(tblParameters[],MATCH(tblDetails[[#This Row],[PROJECT TYPE]],tblParameters[PROJECT TYPE],0),MATCH(tblDetails[[#Headers],[ACCOUNT MANAGER]],tblParameters[#Headers],0))*INDEX('PROJECT PARAMETERS'!$B$14:$H$14,1,MATCH(tblDetails[[#Headers],[ACCOUNT MANAGER]],tblParameters[#Headers],0))*tblDetails[[#This Row],[ACTUAL WORK]]</f>
        <v>11160</v>
      </c>
      <c r="S12" s="13">
        <f>INDEX(tblParameters[],MATCH(tblDetails[[#This Row],[PROJECT TYPE]],tblParameters[PROJECT TYPE],0),MATCH(tblDetails[[#Headers],[PROJECT MANAGER]],tblParameters[#Headers],0))*INDEX('PROJECT PARAMETERS'!$B$14:$H$14,1,MATCH(tblDetails[[#Headers],[PROJECT MANAGER]],tblParameters[#Headers],0))*tblDetails[[#This Row],[ACTUAL WORK]]</f>
        <v>7440</v>
      </c>
      <c r="T12" s="13">
        <f>INDEX(tblParameters[],MATCH(tblDetails[[#This Row],[PROJECT TYPE]],tblParameters[PROJECT TYPE],0),MATCH(tblDetails[[#Headers],[STRATEGY MANAGER]],tblParameters[#Headers],0))*INDEX('PROJECT PARAMETERS'!$B$14:$H$14,1,MATCH(tblDetails[[#Headers],[STRATEGY MANAGER]],tblParameters[#Headers],0))*tblDetails[[#This Row],[ACTUAL WORK]]</f>
        <v>9300</v>
      </c>
      <c r="U12" s="13">
        <f>INDEX(tblParameters[],MATCH(tblDetails[[#This Row],[PROJECT TYPE]],tblParameters[PROJECT TYPE],0),MATCH(tblDetails[[#Headers],[DESIGN SPECIALIST]],tblParameters[#Headers],0))*INDEX('PROJECT PARAMETERS'!$B$14:$H$14,1,MATCH(tblDetails[[#Headers],[DESIGN SPECIALIST]],tblParameters[#Headers],0))*tblDetails[[#This Row],[ACTUAL WORK]]</f>
        <v>6200</v>
      </c>
      <c r="V12" s="13">
        <f>INDEX(tblParameters[],MATCH(tblDetails[[#This Row],[PROJECT TYPE]],tblParameters[PROJECT TYPE],0),MATCH(tblDetails[[#Headers],[EVENT STAFF]],tblParameters[#Headers],0))*INDEX('PROJECT PARAMETERS'!$B$14:$H$14,1,MATCH(tblDetails[[#Headers],[EVENT STAFF]],tblParameters[#Headers],0))*tblDetails[[#This Row],[ACTUAL WORK]]</f>
        <v>0</v>
      </c>
      <c r="W12" s="13">
        <f>INDEX(tblParameters[],MATCH(tblDetails[[#This Row],[PROJECT TYPE]],tblParameters[PROJECT TYPE],0),MATCH(tblDetails[[#Headers],[ADMIN STAFF]],tblParameters[#Headers],0))*INDEX('PROJECT PARAMETERS'!$B$14:$H$14,1,MATCH(tblDetails[[#Headers],[ADMIN STAFF]],tblParameters[#Headers],0))*tblDetails[[#This Row],[ACTUAL WORK]]</f>
        <v>3720</v>
      </c>
    </row>
    <row r="13" spans="2:23" x14ac:dyDescent="0.2">
      <c r="B13" t="s">
        <v>18</v>
      </c>
      <c r="C13" t="s">
        <v>6</v>
      </c>
      <c r="D13" s="11">
        <v>41530</v>
      </c>
      <c r="E13" s="11">
        <v>41540</v>
      </c>
      <c r="F13" s="11">
        <v>41573</v>
      </c>
      <c r="G13" s="11">
        <v>41560</v>
      </c>
      <c r="H13">
        <v>500</v>
      </c>
      <c r="I13">
        <v>510</v>
      </c>
      <c r="J13">
        <f>DAYS360(tblDetails[[#This Row],[ESTIMATED START]],tblDetails[[#This Row],[ESTIMATED FINISH]],FALSE)</f>
        <v>10</v>
      </c>
      <c r="K13">
        <f>DAYS360(tblDetails[[#This Row],[ACTUAL START]],tblDetails[[#This Row],[ACTUAL FINISH]],FALSE)</f>
        <v>-13</v>
      </c>
      <c r="L13" s="13">
        <f>INDEX(tblParameters[],MATCH(tblDetails[[#This Row],[PROJECT TYPE]],tblParameters[PROJECT TYPE],0),MATCH(tblDetails[[#Headers],[ACCOUNT MANAGER]],tblParameters[#Headers],0))*INDEX('PROJECT PARAMETERS'!$B$14:$H$14,1,MATCH(tblDetails[[#Headers],[ACCOUNT MANAGER]],tblParameters[#Headers],0))*tblDetails[[#This Row],[ESTIMATED WORK]]</f>
        <v>18000</v>
      </c>
      <c r="M13" s="13">
        <f>INDEX(tblParameters[],MATCH(tblDetails[[#This Row],[PROJECT TYPE]],tblParameters[PROJECT TYPE],0),MATCH(tblDetails[[#Headers],[PROJECT MANAGER]],tblParameters[#Headers],0))*INDEX('PROJECT PARAMETERS'!$B$14:$H$14,1,MATCH(tblDetails[[#Headers],[PROJECT MANAGER]],tblParameters[#Headers],0))*tblDetails[[#This Row],[ESTIMATED WORK]]</f>
        <v>30000</v>
      </c>
      <c r="N13" s="13">
        <f>INDEX(tblParameters[],MATCH(tblDetails[[#This Row],[PROJECT TYPE]],tblParameters[PROJECT TYPE],0),MATCH(tblDetails[[#Headers],[STRATEGY MANAGER]],tblParameters[#Headers],0))*INDEX('PROJECT PARAMETERS'!$B$14:$H$14,1,MATCH(tblDetails[[#Headers],[STRATEGY MANAGER]],tblParameters[#Headers],0))*tblDetails[[#This Row],[ESTIMATED WORK]]</f>
        <v>7500</v>
      </c>
      <c r="O13" s="13">
        <f>INDEX(tblParameters[],MATCH(tblDetails[[#This Row],[PROJECT TYPE]],tblParameters[PROJECT TYPE],0),MATCH(tblDetails[[#Headers],[DESIGN SPECIALIST]],tblParameters[#Headers],0))*INDEX('PROJECT PARAMETERS'!$B$14:$H$14,1,MATCH(tblDetails[[#Headers],[DESIGN SPECIALIST]],tblParameters[#Headers],0))*tblDetails[[#This Row],[ESTIMATED WORK]]</f>
        <v>5000</v>
      </c>
      <c r="P13" s="13">
        <f>INDEX(tblParameters[],MATCH(tblDetails[[#This Row],[PROJECT TYPE]],tblParameters[PROJECT TYPE],0),MATCH(tblDetails[[#Headers],[EVENT STAFF]],tblParameters[#Headers],0))*INDEX('PROJECT PARAMETERS'!$B$14:$H$14,1,MATCH(tblDetails[[#Headers],[EVENT STAFF]],tblParameters[#Headers],0))*tblDetails[[#This Row],[ESTIMATED WORK]]</f>
        <v>0</v>
      </c>
      <c r="Q13" s="13">
        <f>INDEX(tblParameters[],MATCH(tblDetails[[#This Row],[PROJECT TYPE]],tblParameters[PROJECT TYPE],0),MATCH(tblDetails[[#Headers],[ADMIN STAFF]],tblParameters[#Headers],0))*INDEX('PROJECT PARAMETERS'!$B$14:$H$14,1,MATCH(tblDetails[[#Headers],[ADMIN STAFF]],tblParameters[#Headers],0))*tblDetails[[#This Row],[ESTIMATED WORK]]</f>
        <v>3000</v>
      </c>
      <c r="R13" s="13">
        <f>INDEX(tblParameters[],MATCH(tblDetails[[#This Row],[PROJECT TYPE]],tblParameters[PROJECT TYPE],0),MATCH(tblDetails[[#Headers],[ACCOUNT MANAGER]],tblParameters[#Headers],0))*INDEX('PROJECT PARAMETERS'!$B$14:$H$14,1,MATCH(tblDetails[[#Headers],[ACCOUNT MANAGER]],tblParameters[#Headers],0))*tblDetails[[#This Row],[ACTUAL WORK]]</f>
        <v>18360</v>
      </c>
      <c r="S13" s="13">
        <f>INDEX(tblParameters[],MATCH(tblDetails[[#This Row],[PROJECT TYPE]],tblParameters[PROJECT TYPE],0),MATCH(tblDetails[[#Headers],[PROJECT MANAGER]],tblParameters[#Headers],0))*INDEX('PROJECT PARAMETERS'!$B$14:$H$14,1,MATCH(tblDetails[[#Headers],[PROJECT MANAGER]],tblParameters[#Headers],0))*tblDetails[[#This Row],[ACTUAL WORK]]</f>
        <v>30600</v>
      </c>
      <c r="T13" s="13">
        <f>INDEX(tblParameters[],MATCH(tblDetails[[#This Row],[PROJECT TYPE]],tblParameters[PROJECT TYPE],0),MATCH(tblDetails[[#Headers],[STRATEGY MANAGER]],tblParameters[#Headers],0))*INDEX('PROJECT PARAMETERS'!$B$14:$H$14,1,MATCH(tblDetails[[#Headers],[STRATEGY MANAGER]],tblParameters[#Headers],0))*tblDetails[[#This Row],[ACTUAL WORK]]</f>
        <v>7650</v>
      </c>
      <c r="U13" s="13">
        <f>INDEX(tblParameters[],MATCH(tblDetails[[#This Row],[PROJECT TYPE]],tblParameters[PROJECT TYPE],0),MATCH(tblDetails[[#Headers],[DESIGN SPECIALIST]],tblParameters[#Headers],0))*INDEX('PROJECT PARAMETERS'!$B$14:$H$14,1,MATCH(tblDetails[[#Headers],[DESIGN SPECIALIST]],tblParameters[#Headers],0))*tblDetails[[#This Row],[ACTUAL WORK]]</f>
        <v>5100</v>
      </c>
      <c r="V13" s="13">
        <f>INDEX(tblParameters[],MATCH(tblDetails[[#This Row],[PROJECT TYPE]],tblParameters[PROJECT TYPE],0),MATCH(tblDetails[[#Headers],[EVENT STAFF]],tblParameters[#Headers],0))*INDEX('PROJECT PARAMETERS'!$B$14:$H$14,1,MATCH(tblDetails[[#Headers],[EVENT STAFF]],tblParameters[#Headers],0))*tblDetails[[#This Row],[ACTUAL WORK]]</f>
        <v>0</v>
      </c>
      <c r="W13" s="13">
        <f>INDEX(tblParameters[],MATCH(tblDetails[[#This Row],[PROJECT TYPE]],tblParameters[PROJECT TYPE],0),MATCH(tblDetails[[#Headers],[ADMIN STAFF]],tblParameters[#Headers],0))*INDEX('PROJECT PARAMETERS'!$B$14:$H$14,1,MATCH(tblDetails[[#Headers],[ADMIN STAFF]],tblParameters[#Headers],0))*tblDetails[[#This Row],[ACTUAL WORK]]</f>
        <v>3060</v>
      </c>
    </row>
    <row r="14" spans="2:23" x14ac:dyDescent="0.2">
      <c r="B14" t="s">
        <v>19</v>
      </c>
      <c r="C14" t="s">
        <v>8</v>
      </c>
      <c r="D14" s="11">
        <v>41538</v>
      </c>
      <c r="E14" s="11">
        <v>41562</v>
      </c>
      <c r="F14" s="11">
        <v>41570</v>
      </c>
      <c r="G14" s="11">
        <v>41596</v>
      </c>
      <c r="H14">
        <v>750</v>
      </c>
      <c r="I14">
        <v>790</v>
      </c>
      <c r="J14">
        <f>DAYS360(tblDetails[[#This Row],[ESTIMATED START]],tblDetails[[#This Row],[ESTIMATED FINISH]],FALSE)</f>
        <v>24</v>
      </c>
      <c r="K14">
        <f>DAYS360(tblDetails[[#This Row],[ACTUAL START]],tblDetails[[#This Row],[ACTUAL FINISH]],FALSE)</f>
        <v>25</v>
      </c>
      <c r="L14" s="13">
        <f>INDEX(tblParameters[],MATCH(tblDetails[[#This Row],[PROJECT TYPE]],tblParameters[PROJECT TYPE],0),MATCH(tblDetails[[#Headers],[ACCOUNT MANAGER]],tblParameters[#Headers],0))*INDEX('PROJECT PARAMETERS'!$B$14:$H$14,1,MATCH(tblDetails[[#Headers],[ACCOUNT MANAGER]],tblParameters[#Headers],0))*tblDetails[[#This Row],[ESTIMATED WORK]]</f>
        <v>27000</v>
      </c>
      <c r="M14" s="13">
        <f>INDEX(tblParameters[],MATCH(tblDetails[[#This Row],[PROJECT TYPE]],tblParameters[PROJECT TYPE],0),MATCH(tblDetails[[#Headers],[PROJECT MANAGER]],tblParameters[#Headers],0))*INDEX('PROJECT PARAMETERS'!$B$14:$H$14,1,MATCH(tblDetails[[#Headers],[PROJECT MANAGER]],tblParameters[#Headers],0))*tblDetails[[#This Row],[ESTIMATED WORK]]</f>
        <v>54000</v>
      </c>
      <c r="N14" s="13">
        <f>INDEX(tblParameters[],MATCH(tblDetails[[#This Row],[PROJECT TYPE]],tblParameters[PROJECT TYPE],0),MATCH(tblDetails[[#Headers],[STRATEGY MANAGER]],tblParameters[#Headers],0))*INDEX('PROJECT PARAMETERS'!$B$14:$H$14,1,MATCH(tblDetails[[#Headers],[STRATEGY MANAGER]],tblParameters[#Headers],0))*tblDetails[[#This Row],[ESTIMATED WORK]]</f>
        <v>0</v>
      </c>
      <c r="O14" s="13">
        <f>INDEX(tblParameters[],MATCH(tblDetails[[#This Row],[PROJECT TYPE]],tblParameters[PROJECT TYPE],0),MATCH(tblDetails[[#Headers],[DESIGN SPECIALIST]],tblParameters[#Headers],0))*INDEX('PROJECT PARAMETERS'!$B$14:$H$14,1,MATCH(tblDetails[[#Headers],[DESIGN SPECIALIST]],tblParameters[#Headers],0))*tblDetails[[#This Row],[ESTIMATED WORK]]</f>
        <v>0</v>
      </c>
      <c r="P14" s="13">
        <f>INDEX(tblParameters[],MATCH(tblDetails[[#This Row],[PROJECT TYPE]],tblParameters[PROJECT TYPE],0),MATCH(tblDetails[[#Headers],[EVENT STAFF]],tblParameters[#Headers],0))*INDEX('PROJECT PARAMETERS'!$B$14:$H$14,1,MATCH(tblDetails[[#Headers],[EVENT STAFF]],tblParameters[#Headers],0))*tblDetails[[#This Row],[ESTIMATED WORK]]</f>
        <v>6000</v>
      </c>
      <c r="Q14" s="13">
        <f>INDEX(tblParameters[],MATCH(tblDetails[[#This Row],[PROJECT TYPE]],tblParameters[PROJECT TYPE],0),MATCH(tblDetails[[#Headers],[ADMIN STAFF]],tblParameters[#Headers],0))*INDEX('PROJECT PARAMETERS'!$B$14:$H$14,1,MATCH(tblDetails[[#Headers],[ADMIN STAFF]],tblParameters[#Headers],0))*tblDetails[[#This Row],[ESTIMATED WORK]]</f>
        <v>4500</v>
      </c>
      <c r="R14" s="13">
        <f>INDEX(tblParameters[],MATCH(tblDetails[[#This Row],[PROJECT TYPE]],tblParameters[PROJECT TYPE],0),MATCH(tblDetails[[#Headers],[ACCOUNT MANAGER]],tblParameters[#Headers],0))*INDEX('PROJECT PARAMETERS'!$B$14:$H$14,1,MATCH(tblDetails[[#Headers],[ACCOUNT MANAGER]],tblParameters[#Headers],0))*tblDetails[[#This Row],[ACTUAL WORK]]</f>
        <v>28440</v>
      </c>
      <c r="S14" s="13">
        <f>INDEX(tblParameters[],MATCH(tblDetails[[#This Row],[PROJECT TYPE]],tblParameters[PROJECT TYPE],0),MATCH(tblDetails[[#Headers],[PROJECT MANAGER]],tblParameters[#Headers],0))*INDEX('PROJECT PARAMETERS'!$B$14:$H$14,1,MATCH(tblDetails[[#Headers],[PROJECT MANAGER]],tblParameters[#Headers],0))*tblDetails[[#This Row],[ACTUAL WORK]]</f>
        <v>56880</v>
      </c>
      <c r="T14" s="13">
        <f>INDEX(tblParameters[],MATCH(tblDetails[[#This Row],[PROJECT TYPE]],tblParameters[PROJECT TYPE],0),MATCH(tblDetails[[#Headers],[STRATEGY MANAGER]],tblParameters[#Headers],0))*INDEX('PROJECT PARAMETERS'!$B$14:$H$14,1,MATCH(tblDetails[[#Headers],[STRATEGY MANAGER]],tblParameters[#Headers],0))*tblDetails[[#This Row],[ACTUAL WORK]]</f>
        <v>0</v>
      </c>
      <c r="U14" s="13">
        <f>INDEX(tblParameters[],MATCH(tblDetails[[#This Row],[PROJECT TYPE]],tblParameters[PROJECT TYPE],0),MATCH(tblDetails[[#Headers],[DESIGN SPECIALIST]],tblParameters[#Headers],0))*INDEX('PROJECT PARAMETERS'!$B$14:$H$14,1,MATCH(tblDetails[[#Headers],[DESIGN SPECIALIST]],tblParameters[#Headers],0))*tblDetails[[#This Row],[ACTUAL WORK]]</f>
        <v>0</v>
      </c>
      <c r="V14" s="13">
        <f>INDEX(tblParameters[],MATCH(tblDetails[[#This Row],[PROJECT TYPE]],tblParameters[PROJECT TYPE],0),MATCH(tblDetails[[#Headers],[EVENT STAFF]],tblParameters[#Headers],0))*INDEX('PROJECT PARAMETERS'!$B$14:$H$14,1,MATCH(tblDetails[[#Headers],[EVENT STAFF]],tblParameters[#Headers],0))*tblDetails[[#This Row],[ACTUAL WORK]]</f>
        <v>6320</v>
      </c>
      <c r="W14" s="13">
        <f>INDEX(tblParameters[],MATCH(tblDetails[[#This Row],[PROJECT TYPE]],tblParameters[PROJECT TYPE],0),MATCH(tblDetails[[#Headers],[ADMIN STAFF]],tblParameters[#Headers],0))*INDEX('PROJECT PARAMETERS'!$B$14:$H$14,1,MATCH(tblDetails[[#Headers],[ADMIN STAFF]],tblParameters[#Headers],0))*tblDetails[[#This Row],[ACTUAL WORK]]</f>
        <v>4740</v>
      </c>
    </row>
    <row r="15" spans="2:23" x14ac:dyDescent="0.2">
      <c r="B15" t="s">
        <v>20</v>
      </c>
      <c r="C15" t="s">
        <v>10</v>
      </c>
      <c r="D15" s="11">
        <v>41562</v>
      </c>
      <c r="E15" s="11">
        <v>41603</v>
      </c>
      <c r="F15" s="11">
        <v>41608</v>
      </c>
      <c r="G15" s="11">
        <v>41649</v>
      </c>
      <c r="H15">
        <v>450</v>
      </c>
      <c r="I15">
        <v>430</v>
      </c>
      <c r="J15">
        <f>DAYS360(tblDetails[[#This Row],[ESTIMATED START]],tblDetails[[#This Row],[ESTIMATED FINISH]],FALSE)</f>
        <v>40</v>
      </c>
      <c r="K15">
        <f>DAYS360(tblDetails[[#This Row],[ACTUAL START]],tblDetails[[#This Row],[ACTUAL FINISH]],FALSE)</f>
        <v>40</v>
      </c>
      <c r="L15" s="13">
        <f>INDEX(tblParameters[],MATCH(tblDetails[[#This Row],[PROJECT TYPE]],tblParameters[PROJECT TYPE],0),MATCH(tblDetails[[#Headers],[ACCOUNT MANAGER]],tblParameters[#Headers],0))*INDEX('PROJECT PARAMETERS'!$B$14:$H$14,1,MATCH(tblDetails[[#Headers],[ACCOUNT MANAGER]],tblParameters[#Headers],0))*tblDetails[[#This Row],[ESTIMATED WORK]]</f>
        <v>16200</v>
      </c>
      <c r="M15" s="13">
        <f>INDEX(tblParameters[],MATCH(tblDetails[[#This Row],[PROJECT TYPE]],tblParameters[PROJECT TYPE],0),MATCH(tblDetails[[#Headers],[PROJECT MANAGER]],tblParameters[#Headers],0))*INDEX('PROJECT PARAMETERS'!$B$14:$H$14,1,MATCH(tblDetails[[#Headers],[PROJECT MANAGER]],tblParameters[#Headers],0))*tblDetails[[#This Row],[ESTIMATED WORK]]</f>
        <v>10800</v>
      </c>
      <c r="N15" s="13">
        <f>INDEX(tblParameters[],MATCH(tblDetails[[#This Row],[PROJECT TYPE]],tblParameters[PROJECT TYPE],0),MATCH(tblDetails[[#Headers],[STRATEGY MANAGER]],tblParameters[#Headers],0))*INDEX('PROJECT PARAMETERS'!$B$14:$H$14,1,MATCH(tblDetails[[#Headers],[STRATEGY MANAGER]],tblParameters[#Headers],0))*tblDetails[[#This Row],[ESTIMATED WORK]]</f>
        <v>13500</v>
      </c>
      <c r="O15" s="13">
        <f>INDEX(tblParameters[],MATCH(tblDetails[[#This Row],[PROJECT TYPE]],tblParameters[PROJECT TYPE],0),MATCH(tblDetails[[#Headers],[DESIGN SPECIALIST]],tblParameters[#Headers],0))*INDEX('PROJECT PARAMETERS'!$B$14:$H$14,1,MATCH(tblDetails[[#Headers],[DESIGN SPECIALIST]],tblParameters[#Headers],0))*tblDetails[[#This Row],[ESTIMATED WORK]]</f>
        <v>9000</v>
      </c>
      <c r="P15" s="13">
        <f>INDEX(tblParameters[],MATCH(tblDetails[[#This Row],[PROJECT TYPE]],tblParameters[PROJECT TYPE],0),MATCH(tblDetails[[#Headers],[EVENT STAFF]],tblParameters[#Headers],0))*INDEX('PROJECT PARAMETERS'!$B$14:$H$14,1,MATCH(tblDetails[[#Headers],[EVENT STAFF]],tblParameters[#Headers],0))*tblDetails[[#This Row],[ESTIMATED WORK]]</f>
        <v>0</v>
      </c>
      <c r="Q15" s="13">
        <f>INDEX(tblParameters[],MATCH(tblDetails[[#This Row],[PROJECT TYPE]],tblParameters[PROJECT TYPE],0),MATCH(tblDetails[[#Headers],[ADMIN STAFF]],tblParameters[#Headers],0))*INDEX('PROJECT PARAMETERS'!$B$14:$H$14,1,MATCH(tblDetails[[#Headers],[ADMIN STAFF]],tblParameters[#Headers],0))*tblDetails[[#This Row],[ESTIMATED WORK]]</f>
        <v>5400</v>
      </c>
      <c r="R15" s="13">
        <f>INDEX(tblParameters[],MATCH(tblDetails[[#This Row],[PROJECT TYPE]],tblParameters[PROJECT TYPE],0),MATCH(tblDetails[[#Headers],[ACCOUNT MANAGER]],tblParameters[#Headers],0))*INDEX('PROJECT PARAMETERS'!$B$14:$H$14,1,MATCH(tblDetails[[#Headers],[ACCOUNT MANAGER]],tblParameters[#Headers],0))*tblDetails[[#This Row],[ACTUAL WORK]]</f>
        <v>15480</v>
      </c>
      <c r="S15" s="13">
        <f>INDEX(tblParameters[],MATCH(tblDetails[[#This Row],[PROJECT TYPE]],tblParameters[PROJECT TYPE],0),MATCH(tblDetails[[#Headers],[PROJECT MANAGER]],tblParameters[#Headers],0))*INDEX('PROJECT PARAMETERS'!$B$14:$H$14,1,MATCH(tblDetails[[#Headers],[PROJECT MANAGER]],tblParameters[#Headers],0))*tblDetails[[#This Row],[ACTUAL WORK]]</f>
        <v>10320</v>
      </c>
      <c r="T15" s="13">
        <f>INDEX(tblParameters[],MATCH(tblDetails[[#This Row],[PROJECT TYPE]],tblParameters[PROJECT TYPE],0),MATCH(tblDetails[[#Headers],[STRATEGY MANAGER]],tblParameters[#Headers],0))*INDEX('PROJECT PARAMETERS'!$B$14:$H$14,1,MATCH(tblDetails[[#Headers],[STRATEGY MANAGER]],tblParameters[#Headers],0))*tblDetails[[#This Row],[ACTUAL WORK]]</f>
        <v>12900</v>
      </c>
      <c r="U15" s="13">
        <f>INDEX(tblParameters[],MATCH(tblDetails[[#This Row],[PROJECT TYPE]],tblParameters[PROJECT TYPE],0),MATCH(tblDetails[[#Headers],[DESIGN SPECIALIST]],tblParameters[#Headers],0))*INDEX('PROJECT PARAMETERS'!$B$14:$H$14,1,MATCH(tblDetails[[#Headers],[DESIGN SPECIALIST]],tblParameters[#Headers],0))*tblDetails[[#This Row],[ACTUAL WORK]]</f>
        <v>8600</v>
      </c>
      <c r="V15" s="13">
        <f>INDEX(tblParameters[],MATCH(tblDetails[[#This Row],[PROJECT TYPE]],tblParameters[PROJECT TYPE],0),MATCH(tblDetails[[#Headers],[EVENT STAFF]],tblParameters[#Headers],0))*INDEX('PROJECT PARAMETERS'!$B$14:$H$14,1,MATCH(tblDetails[[#Headers],[EVENT STAFF]],tblParameters[#Headers],0))*tblDetails[[#This Row],[ACTUAL WORK]]</f>
        <v>0</v>
      </c>
      <c r="W15" s="13">
        <f>INDEX(tblParameters[],MATCH(tblDetails[[#This Row],[PROJECT TYPE]],tblParameters[PROJECT TYPE],0),MATCH(tblDetails[[#Headers],[ADMIN STAFF]],tblParameters[#Headers],0))*INDEX('PROJECT PARAMETERS'!$B$14:$H$14,1,MATCH(tblDetails[[#Headers],[ADMIN STAFF]],tblParameters[#Headers],0))*tblDetails[[#This Row],[ACTUAL WORK]]</f>
        <v>5160</v>
      </c>
    </row>
    <row r="16" spans="2:23" x14ac:dyDescent="0.2">
      <c r="B16" t="s">
        <v>21</v>
      </c>
      <c r="C16" t="s">
        <v>9</v>
      </c>
      <c r="D16" s="11">
        <v>41573</v>
      </c>
      <c r="E16" s="11">
        <v>41632</v>
      </c>
      <c r="F16" s="11">
        <v>41604</v>
      </c>
      <c r="G16" s="11">
        <v>41658</v>
      </c>
      <c r="H16">
        <v>250</v>
      </c>
      <c r="I16">
        <v>235</v>
      </c>
      <c r="J16">
        <f>DAYS360(tblDetails[[#This Row],[ESTIMATED START]],tblDetails[[#This Row],[ESTIMATED FINISH]],FALSE)</f>
        <v>58</v>
      </c>
      <c r="K16">
        <f>DAYS360(tblDetails[[#This Row],[ACTUAL START]],tblDetails[[#This Row],[ACTUAL FINISH]],FALSE)</f>
        <v>53</v>
      </c>
      <c r="L16" s="13">
        <f>INDEX(tblParameters[],MATCH(tblDetails[[#This Row],[PROJECT TYPE]],tblParameters[PROJECT TYPE],0),MATCH(tblDetails[[#Headers],[ACCOUNT MANAGER]],tblParameters[#Headers],0))*INDEX('PROJECT PARAMETERS'!$B$14:$H$14,1,MATCH(tblDetails[[#Headers],[ACCOUNT MANAGER]],tblParameters[#Headers],0))*tblDetails[[#This Row],[ESTIMATED WORK]]</f>
        <v>9000</v>
      </c>
      <c r="M16" s="13">
        <f>INDEX(tblParameters[],MATCH(tblDetails[[#This Row],[PROJECT TYPE]],tblParameters[PROJECT TYPE],0),MATCH(tblDetails[[#Headers],[PROJECT MANAGER]],tblParameters[#Headers],0))*INDEX('PROJECT PARAMETERS'!$B$14:$H$14,1,MATCH(tblDetails[[#Headers],[PROJECT MANAGER]],tblParameters[#Headers],0))*tblDetails[[#This Row],[ESTIMATED WORK]]</f>
        <v>3000</v>
      </c>
      <c r="N16" s="13">
        <f>INDEX(tblParameters[],MATCH(tblDetails[[#This Row],[PROJECT TYPE]],tblParameters[PROJECT TYPE],0),MATCH(tblDetails[[#Headers],[STRATEGY MANAGER]],tblParameters[#Headers],0))*INDEX('PROJECT PARAMETERS'!$B$14:$H$14,1,MATCH(tblDetails[[#Headers],[STRATEGY MANAGER]],tblParameters[#Headers],0))*tblDetails[[#This Row],[ESTIMATED WORK]]</f>
        <v>0</v>
      </c>
      <c r="O16" s="13">
        <f>INDEX(tblParameters[],MATCH(tblDetails[[#This Row],[PROJECT TYPE]],tblParameters[PROJECT TYPE],0),MATCH(tblDetails[[#Headers],[DESIGN SPECIALIST]],tblParameters[#Headers],0))*INDEX('PROJECT PARAMETERS'!$B$14:$H$14,1,MATCH(tblDetails[[#Headers],[DESIGN SPECIALIST]],tblParameters[#Headers],0))*tblDetails[[#This Row],[ESTIMATED WORK]]</f>
        <v>0</v>
      </c>
      <c r="P16" s="13">
        <f>INDEX(tblParameters[],MATCH(tblDetails[[#This Row],[PROJECT TYPE]],tblParameters[PROJECT TYPE],0),MATCH(tblDetails[[#Headers],[EVENT STAFF]],tblParameters[#Headers],0))*INDEX('PROJECT PARAMETERS'!$B$14:$H$14,1,MATCH(tblDetails[[#Headers],[EVENT STAFF]],tblParameters[#Headers],0))*tblDetails[[#This Row],[ESTIMATED WORK]]</f>
        <v>12000</v>
      </c>
      <c r="Q16" s="13">
        <f>INDEX(tblParameters[],MATCH(tblDetails[[#This Row],[PROJECT TYPE]],tblParameters[PROJECT TYPE],0),MATCH(tblDetails[[#Headers],[ADMIN STAFF]],tblParameters[#Headers],0))*INDEX('PROJECT PARAMETERS'!$B$14:$H$14,1,MATCH(tblDetails[[#Headers],[ADMIN STAFF]],tblParameters[#Headers],0))*tblDetails[[#This Row],[ESTIMATED WORK]]</f>
        <v>1500</v>
      </c>
      <c r="R16" s="13">
        <f>INDEX(tblParameters[],MATCH(tblDetails[[#This Row],[PROJECT TYPE]],tblParameters[PROJECT TYPE],0),MATCH(tblDetails[[#Headers],[ACCOUNT MANAGER]],tblParameters[#Headers],0))*INDEX('PROJECT PARAMETERS'!$B$14:$H$14,1,MATCH(tblDetails[[#Headers],[ACCOUNT MANAGER]],tblParameters[#Headers],0))*tblDetails[[#This Row],[ACTUAL WORK]]</f>
        <v>8460</v>
      </c>
      <c r="S16" s="13">
        <f>INDEX(tblParameters[],MATCH(tblDetails[[#This Row],[PROJECT TYPE]],tblParameters[PROJECT TYPE],0),MATCH(tblDetails[[#Headers],[PROJECT MANAGER]],tblParameters[#Headers],0))*INDEX('PROJECT PARAMETERS'!$B$14:$H$14,1,MATCH(tblDetails[[#Headers],[PROJECT MANAGER]],tblParameters[#Headers],0))*tblDetails[[#This Row],[ACTUAL WORK]]</f>
        <v>2820</v>
      </c>
      <c r="T16" s="13">
        <f>INDEX(tblParameters[],MATCH(tblDetails[[#This Row],[PROJECT TYPE]],tblParameters[PROJECT TYPE],0),MATCH(tblDetails[[#Headers],[STRATEGY MANAGER]],tblParameters[#Headers],0))*INDEX('PROJECT PARAMETERS'!$B$14:$H$14,1,MATCH(tblDetails[[#Headers],[STRATEGY MANAGER]],tblParameters[#Headers],0))*tblDetails[[#This Row],[ACTUAL WORK]]</f>
        <v>0</v>
      </c>
      <c r="U16" s="13">
        <f>INDEX(tblParameters[],MATCH(tblDetails[[#This Row],[PROJECT TYPE]],tblParameters[PROJECT TYPE],0),MATCH(tblDetails[[#Headers],[DESIGN SPECIALIST]],tblParameters[#Headers],0))*INDEX('PROJECT PARAMETERS'!$B$14:$H$14,1,MATCH(tblDetails[[#Headers],[DESIGN SPECIALIST]],tblParameters[#Headers],0))*tblDetails[[#This Row],[ACTUAL WORK]]</f>
        <v>0</v>
      </c>
      <c r="V16" s="13">
        <f>INDEX(tblParameters[],MATCH(tblDetails[[#This Row],[PROJECT TYPE]],tblParameters[PROJECT TYPE],0),MATCH(tblDetails[[#Headers],[EVENT STAFF]],tblParameters[#Headers],0))*INDEX('PROJECT PARAMETERS'!$B$14:$H$14,1,MATCH(tblDetails[[#Headers],[EVENT STAFF]],tblParameters[#Headers],0))*tblDetails[[#This Row],[ACTUAL WORK]]</f>
        <v>11280</v>
      </c>
      <c r="W16" s="13">
        <f>INDEX(tblParameters[],MATCH(tblDetails[[#This Row],[PROJECT TYPE]],tblParameters[PROJECT TYPE],0),MATCH(tblDetails[[#Headers],[ADMIN STAFF]],tblParameters[#Headers],0))*INDEX('PROJECT PARAMETERS'!$B$14:$H$14,1,MATCH(tblDetails[[#Headers],[ADMIN STAFF]],tblParameters[#Headers],0))*tblDetails[[#This Row],[ACTUAL WORK]]</f>
        <v>1410</v>
      </c>
    </row>
    <row r="17" spans="2:23" x14ac:dyDescent="0.2">
      <c r="B17" t="s">
        <v>22</v>
      </c>
      <c r="C17" t="s">
        <v>6</v>
      </c>
      <c r="D17" s="11">
        <v>41595</v>
      </c>
      <c r="E17" s="11">
        <v>41654</v>
      </c>
      <c r="F17" s="11">
        <v>41636</v>
      </c>
      <c r="G17" s="11">
        <v>41696</v>
      </c>
      <c r="H17">
        <v>200</v>
      </c>
      <c r="I17">
        <v>235</v>
      </c>
      <c r="J17">
        <f>DAYS360(tblDetails[[#This Row],[ESTIMATED START]],tblDetails[[#This Row],[ESTIMATED FINISH]],FALSE)</f>
        <v>58</v>
      </c>
      <c r="K17">
        <f>DAYS360(tblDetails[[#This Row],[ACTUAL START]],tblDetails[[#This Row],[ACTUAL FINISH]],FALSE)</f>
        <v>58</v>
      </c>
      <c r="L17" s="13">
        <f>INDEX(tblParameters[],MATCH(tblDetails[[#This Row],[PROJECT TYPE]],tblParameters[PROJECT TYPE],0),MATCH(tblDetails[[#Headers],[ACCOUNT MANAGER]],tblParameters[#Headers],0))*INDEX('PROJECT PARAMETERS'!$B$14:$H$14,1,MATCH(tblDetails[[#Headers],[ACCOUNT MANAGER]],tblParameters[#Headers],0))*tblDetails[[#This Row],[ESTIMATED WORK]]</f>
        <v>7200</v>
      </c>
      <c r="M17" s="13">
        <f>INDEX(tblParameters[],MATCH(tblDetails[[#This Row],[PROJECT TYPE]],tblParameters[PROJECT TYPE],0),MATCH(tblDetails[[#Headers],[PROJECT MANAGER]],tblParameters[#Headers],0))*INDEX('PROJECT PARAMETERS'!$B$14:$H$14,1,MATCH(tblDetails[[#Headers],[PROJECT MANAGER]],tblParameters[#Headers],0))*tblDetails[[#This Row],[ESTIMATED WORK]]</f>
        <v>12000</v>
      </c>
      <c r="N17" s="13">
        <f>INDEX(tblParameters[],MATCH(tblDetails[[#This Row],[PROJECT TYPE]],tblParameters[PROJECT TYPE],0),MATCH(tblDetails[[#Headers],[STRATEGY MANAGER]],tblParameters[#Headers],0))*INDEX('PROJECT PARAMETERS'!$B$14:$H$14,1,MATCH(tblDetails[[#Headers],[STRATEGY MANAGER]],tblParameters[#Headers],0))*tblDetails[[#This Row],[ESTIMATED WORK]]</f>
        <v>3000</v>
      </c>
      <c r="O17" s="13">
        <f>INDEX(tblParameters[],MATCH(tblDetails[[#This Row],[PROJECT TYPE]],tblParameters[PROJECT TYPE],0),MATCH(tblDetails[[#Headers],[DESIGN SPECIALIST]],tblParameters[#Headers],0))*INDEX('PROJECT PARAMETERS'!$B$14:$H$14,1,MATCH(tblDetails[[#Headers],[DESIGN SPECIALIST]],tblParameters[#Headers],0))*tblDetails[[#This Row],[ESTIMATED WORK]]</f>
        <v>2000</v>
      </c>
      <c r="P17" s="13">
        <f>INDEX(tblParameters[],MATCH(tblDetails[[#This Row],[PROJECT TYPE]],tblParameters[PROJECT TYPE],0),MATCH(tblDetails[[#Headers],[EVENT STAFF]],tblParameters[#Headers],0))*INDEX('PROJECT PARAMETERS'!$B$14:$H$14,1,MATCH(tblDetails[[#Headers],[EVENT STAFF]],tblParameters[#Headers],0))*tblDetails[[#This Row],[ESTIMATED WORK]]</f>
        <v>0</v>
      </c>
      <c r="Q17" s="13">
        <f>INDEX(tblParameters[],MATCH(tblDetails[[#This Row],[PROJECT TYPE]],tblParameters[PROJECT TYPE],0),MATCH(tblDetails[[#Headers],[ADMIN STAFF]],tblParameters[#Headers],0))*INDEX('PROJECT PARAMETERS'!$B$14:$H$14,1,MATCH(tblDetails[[#Headers],[ADMIN STAFF]],tblParameters[#Headers],0))*tblDetails[[#This Row],[ESTIMATED WORK]]</f>
        <v>1200</v>
      </c>
      <c r="R17" s="13">
        <f>INDEX(tblParameters[],MATCH(tblDetails[[#This Row],[PROJECT TYPE]],tblParameters[PROJECT TYPE],0),MATCH(tblDetails[[#Headers],[ACCOUNT MANAGER]],tblParameters[#Headers],0))*INDEX('PROJECT PARAMETERS'!$B$14:$H$14,1,MATCH(tblDetails[[#Headers],[ACCOUNT MANAGER]],tblParameters[#Headers],0))*tblDetails[[#This Row],[ACTUAL WORK]]</f>
        <v>8460</v>
      </c>
      <c r="S17" s="13">
        <f>INDEX(tblParameters[],MATCH(tblDetails[[#This Row],[PROJECT TYPE]],tblParameters[PROJECT TYPE],0),MATCH(tblDetails[[#Headers],[PROJECT MANAGER]],tblParameters[#Headers],0))*INDEX('PROJECT PARAMETERS'!$B$14:$H$14,1,MATCH(tblDetails[[#Headers],[PROJECT MANAGER]],tblParameters[#Headers],0))*tblDetails[[#This Row],[ACTUAL WORK]]</f>
        <v>14100</v>
      </c>
      <c r="T17" s="13">
        <f>INDEX(tblParameters[],MATCH(tblDetails[[#This Row],[PROJECT TYPE]],tblParameters[PROJECT TYPE],0),MATCH(tblDetails[[#Headers],[STRATEGY MANAGER]],tblParameters[#Headers],0))*INDEX('PROJECT PARAMETERS'!$B$14:$H$14,1,MATCH(tblDetails[[#Headers],[STRATEGY MANAGER]],tblParameters[#Headers],0))*tblDetails[[#This Row],[ACTUAL WORK]]</f>
        <v>3525</v>
      </c>
      <c r="U17" s="13">
        <f>INDEX(tblParameters[],MATCH(tblDetails[[#This Row],[PROJECT TYPE]],tblParameters[PROJECT TYPE],0),MATCH(tblDetails[[#Headers],[DESIGN SPECIALIST]],tblParameters[#Headers],0))*INDEX('PROJECT PARAMETERS'!$B$14:$H$14,1,MATCH(tblDetails[[#Headers],[DESIGN SPECIALIST]],tblParameters[#Headers],0))*tblDetails[[#This Row],[ACTUAL WORK]]</f>
        <v>2350</v>
      </c>
      <c r="V17" s="13">
        <f>INDEX(tblParameters[],MATCH(tblDetails[[#This Row],[PROJECT TYPE]],tblParameters[PROJECT TYPE],0),MATCH(tblDetails[[#Headers],[EVENT STAFF]],tblParameters[#Headers],0))*INDEX('PROJECT PARAMETERS'!$B$14:$H$14,1,MATCH(tblDetails[[#Headers],[EVENT STAFF]],tblParameters[#Headers],0))*tblDetails[[#This Row],[ACTUAL WORK]]</f>
        <v>0</v>
      </c>
      <c r="W17" s="13">
        <f>INDEX(tblParameters[],MATCH(tblDetails[[#This Row],[PROJECT TYPE]],tblParameters[PROJECT TYPE],0),MATCH(tblDetails[[#Headers],[ADMIN STAFF]],tblParameters[#Headers],0))*INDEX('PROJECT PARAMETERS'!$B$14:$H$14,1,MATCH(tblDetails[[#Headers],[ADMIN STAFF]],tblParameters[#Headers],0))*tblDetails[[#This Row],[ACTUAL WORK]]</f>
        <v>1410</v>
      </c>
    </row>
    <row r="18" spans="2:23" x14ac:dyDescent="0.2">
      <c r="B18" t="s">
        <v>23</v>
      </c>
      <c r="C18" t="s">
        <v>5</v>
      </c>
      <c r="D18" s="11">
        <v>41611</v>
      </c>
      <c r="E18" s="11">
        <v>41672</v>
      </c>
      <c r="F18" s="11">
        <v>41653</v>
      </c>
      <c r="G18" s="11">
        <v>41700</v>
      </c>
      <c r="H18">
        <v>180</v>
      </c>
      <c r="I18">
        <v>190</v>
      </c>
      <c r="J18">
        <f>DAYS360(tblDetails[[#This Row],[ESTIMATED START]],tblDetails[[#This Row],[ESTIMATED FINISH]],FALSE)</f>
        <v>59</v>
      </c>
      <c r="K18">
        <f>DAYS360(tblDetails[[#This Row],[ACTUAL START]],tblDetails[[#This Row],[ACTUAL FINISH]],FALSE)</f>
        <v>48</v>
      </c>
      <c r="L18" s="13">
        <f>INDEX(tblParameters[],MATCH(tblDetails[[#This Row],[PROJECT TYPE]],tblParameters[PROJECT TYPE],0),MATCH(tblDetails[[#Headers],[ACCOUNT MANAGER]],tblParameters[#Headers],0))*INDEX('PROJECT PARAMETERS'!$B$14:$H$14,1,MATCH(tblDetails[[#Headers],[ACCOUNT MANAGER]],tblParameters[#Headers],0))*tblDetails[[#This Row],[ESTIMATED WORK]]</f>
        <v>6480</v>
      </c>
      <c r="M18" s="13">
        <f>INDEX(tblParameters[],MATCH(tblDetails[[#This Row],[PROJECT TYPE]],tblParameters[PROJECT TYPE],0),MATCH(tblDetails[[#Headers],[PROJECT MANAGER]],tblParameters[#Headers],0))*INDEX('PROJECT PARAMETERS'!$B$14:$H$14,1,MATCH(tblDetails[[#Headers],[PROJECT MANAGER]],tblParameters[#Headers],0))*tblDetails[[#This Row],[ESTIMATED WORK]]</f>
        <v>2160</v>
      </c>
      <c r="N18" s="13">
        <f>INDEX(tblParameters[],MATCH(tblDetails[[#This Row],[PROJECT TYPE]],tblParameters[PROJECT TYPE],0),MATCH(tblDetails[[#Headers],[STRATEGY MANAGER]],tblParameters[#Headers],0))*INDEX('PROJECT PARAMETERS'!$B$14:$H$14,1,MATCH(tblDetails[[#Headers],[STRATEGY MANAGER]],tblParameters[#Headers],0))*tblDetails[[#This Row],[ESTIMATED WORK]]</f>
        <v>16200</v>
      </c>
      <c r="O18" s="13">
        <f>INDEX(tblParameters[],MATCH(tblDetails[[#This Row],[PROJECT TYPE]],tblParameters[PROJECT TYPE],0),MATCH(tblDetails[[#Headers],[DESIGN SPECIALIST]],tblParameters[#Headers],0))*INDEX('PROJECT PARAMETERS'!$B$14:$H$14,1,MATCH(tblDetails[[#Headers],[DESIGN SPECIALIST]],tblParameters[#Headers],0))*tblDetails[[#This Row],[ESTIMATED WORK]]</f>
        <v>0</v>
      </c>
      <c r="P18" s="13">
        <f>INDEX(tblParameters[],MATCH(tblDetails[[#This Row],[PROJECT TYPE]],tblParameters[PROJECT TYPE],0),MATCH(tblDetails[[#Headers],[EVENT STAFF]],tblParameters[#Headers],0))*INDEX('PROJECT PARAMETERS'!$B$14:$H$14,1,MATCH(tblDetails[[#Headers],[EVENT STAFF]],tblParameters[#Headers],0))*tblDetails[[#This Row],[ESTIMATED WORK]]</f>
        <v>0</v>
      </c>
      <c r="Q18" s="13">
        <f>INDEX(tblParameters[],MATCH(tblDetails[[#This Row],[PROJECT TYPE]],tblParameters[PROJECT TYPE],0),MATCH(tblDetails[[#Headers],[ADMIN STAFF]],tblParameters[#Headers],0))*INDEX('PROJECT PARAMETERS'!$B$14:$H$14,1,MATCH(tblDetails[[#Headers],[ADMIN STAFF]],tblParameters[#Headers],0))*tblDetails[[#This Row],[ESTIMATED WORK]]</f>
        <v>1080</v>
      </c>
      <c r="R18" s="13">
        <f>INDEX(tblParameters[],MATCH(tblDetails[[#This Row],[PROJECT TYPE]],tblParameters[PROJECT TYPE],0),MATCH(tblDetails[[#Headers],[ACCOUNT MANAGER]],tblParameters[#Headers],0))*INDEX('PROJECT PARAMETERS'!$B$14:$H$14,1,MATCH(tblDetails[[#Headers],[ACCOUNT MANAGER]],tblParameters[#Headers],0))*tblDetails[[#This Row],[ACTUAL WORK]]</f>
        <v>6840</v>
      </c>
      <c r="S18" s="13">
        <f>INDEX(tblParameters[],MATCH(tblDetails[[#This Row],[PROJECT TYPE]],tblParameters[PROJECT TYPE],0),MATCH(tblDetails[[#Headers],[PROJECT MANAGER]],tblParameters[#Headers],0))*INDEX('PROJECT PARAMETERS'!$B$14:$H$14,1,MATCH(tblDetails[[#Headers],[PROJECT MANAGER]],tblParameters[#Headers],0))*tblDetails[[#This Row],[ACTUAL WORK]]</f>
        <v>2280</v>
      </c>
      <c r="T18" s="13">
        <f>INDEX(tblParameters[],MATCH(tblDetails[[#This Row],[PROJECT TYPE]],tblParameters[PROJECT TYPE],0),MATCH(tblDetails[[#Headers],[STRATEGY MANAGER]],tblParameters[#Headers],0))*INDEX('PROJECT PARAMETERS'!$B$14:$H$14,1,MATCH(tblDetails[[#Headers],[STRATEGY MANAGER]],tblParameters[#Headers],0))*tblDetails[[#This Row],[ACTUAL WORK]]</f>
        <v>17100</v>
      </c>
      <c r="U18" s="13">
        <f>INDEX(tblParameters[],MATCH(tblDetails[[#This Row],[PROJECT TYPE]],tblParameters[PROJECT TYPE],0),MATCH(tblDetails[[#Headers],[DESIGN SPECIALIST]],tblParameters[#Headers],0))*INDEX('PROJECT PARAMETERS'!$B$14:$H$14,1,MATCH(tblDetails[[#Headers],[DESIGN SPECIALIST]],tblParameters[#Headers],0))*tblDetails[[#This Row],[ACTUAL WORK]]</f>
        <v>0</v>
      </c>
      <c r="V18" s="13">
        <f>INDEX(tblParameters[],MATCH(tblDetails[[#This Row],[PROJECT TYPE]],tblParameters[PROJECT TYPE],0),MATCH(tblDetails[[#Headers],[EVENT STAFF]],tblParameters[#Headers],0))*INDEX('PROJECT PARAMETERS'!$B$14:$H$14,1,MATCH(tblDetails[[#Headers],[EVENT STAFF]],tblParameters[#Headers],0))*tblDetails[[#This Row],[ACTUAL WORK]]</f>
        <v>0</v>
      </c>
      <c r="W18" s="13">
        <f>INDEX(tblParameters[],MATCH(tblDetails[[#This Row],[PROJECT TYPE]],tblParameters[PROJECT TYPE],0),MATCH(tblDetails[[#Headers],[ADMIN STAFF]],tblParameters[#Headers],0))*INDEX('PROJECT PARAMETERS'!$B$14:$H$14,1,MATCH(tblDetails[[#Headers],[ADMIN STAFF]],tblParameters[#Headers],0))*tblDetails[[#This Row],[ACTUAL WORK]]</f>
        <v>1140</v>
      </c>
    </row>
    <row r="19" spans="2:23" x14ac:dyDescent="0.2">
      <c r="B19" t="s">
        <v>24</v>
      </c>
      <c r="C19" t="s">
        <v>9</v>
      </c>
      <c r="D19" s="11">
        <v>41446</v>
      </c>
      <c r="E19" s="11">
        <v>41657</v>
      </c>
      <c r="F19" s="11">
        <v>41491</v>
      </c>
      <c r="G19" s="11">
        <v>41702</v>
      </c>
      <c r="H19">
        <v>250</v>
      </c>
      <c r="I19">
        <v>230</v>
      </c>
      <c r="J19">
        <f>DAYS360(tblDetails[[#This Row],[ESTIMATED START]],tblDetails[[#This Row],[ESTIMATED FINISH]],FALSE)</f>
        <v>207</v>
      </c>
      <c r="K19">
        <f>DAYS360(tblDetails[[#This Row],[ACTUAL START]],tblDetails[[#This Row],[ACTUAL FINISH]],FALSE)</f>
        <v>209</v>
      </c>
      <c r="L19" s="13">
        <f>INDEX(tblParameters[],MATCH(tblDetails[[#This Row],[PROJECT TYPE]],tblParameters[PROJECT TYPE],0),MATCH(tblDetails[[#Headers],[ACCOUNT MANAGER]],tblParameters[#Headers],0))*INDEX('PROJECT PARAMETERS'!$B$14:$H$14,1,MATCH(tblDetails[[#Headers],[ACCOUNT MANAGER]],tblParameters[#Headers],0))*tblDetails[[#This Row],[ESTIMATED WORK]]</f>
        <v>9000</v>
      </c>
      <c r="M19" s="13">
        <f>INDEX(tblParameters[],MATCH(tblDetails[[#This Row],[PROJECT TYPE]],tblParameters[PROJECT TYPE],0),MATCH(tblDetails[[#Headers],[PROJECT MANAGER]],tblParameters[#Headers],0))*INDEX('PROJECT PARAMETERS'!$B$14:$H$14,1,MATCH(tblDetails[[#Headers],[PROJECT MANAGER]],tblParameters[#Headers],0))*tblDetails[[#This Row],[ESTIMATED WORK]]</f>
        <v>3000</v>
      </c>
      <c r="N19" s="13">
        <f>INDEX(tblParameters[],MATCH(tblDetails[[#This Row],[PROJECT TYPE]],tblParameters[PROJECT TYPE],0),MATCH(tblDetails[[#Headers],[STRATEGY MANAGER]],tblParameters[#Headers],0))*INDEX('PROJECT PARAMETERS'!$B$14:$H$14,1,MATCH(tblDetails[[#Headers],[STRATEGY MANAGER]],tblParameters[#Headers],0))*tblDetails[[#This Row],[ESTIMATED WORK]]</f>
        <v>0</v>
      </c>
      <c r="O19" s="13">
        <f>INDEX(tblParameters[],MATCH(tblDetails[[#This Row],[PROJECT TYPE]],tblParameters[PROJECT TYPE],0),MATCH(tblDetails[[#Headers],[DESIGN SPECIALIST]],tblParameters[#Headers],0))*INDEX('PROJECT PARAMETERS'!$B$14:$H$14,1,MATCH(tblDetails[[#Headers],[DESIGN SPECIALIST]],tblParameters[#Headers],0))*tblDetails[[#This Row],[ESTIMATED WORK]]</f>
        <v>0</v>
      </c>
      <c r="P19" s="13">
        <f>INDEX(tblParameters[],MATCH(tblDetails[[#This Row],[PROJECT TYPE]],tblParameters[PROJECT TYPE],0),MATCH(tblDetails[[#Headers],[EVENT STAFF]],tblParameters[#Headers],0))*INDEX('PROJECT PARAMETERS'!$B$14:$H$14,1,MATCH(tblDetails[[#Headers],[EVENT STAFF]],tblParameters[#Headers],0))*tblDetails[[#This Row],[ESTIMATED WORK]]</f>
        <v>12000</v>
      </c>
      <c r="Q19" s="13">
        <f>INDEX(tblParameters[],MATCH(tblDetails[[#This Row],[PROJECT TYPE]],tblParameters[PROJECT TYPE],0),MATCH(tblDetails[[#Headers],[ADMIN STAFF]],tblParameters[#Headers],0))*INDEX('PROJECT PARAMETERS'!$B$14:$H$14,1,MATCH(tblDetails[[#Headers],[ADMIN STAFF]],tblParameters[#Headers],0))*tblDetails[[#This Row],[ESTIMATED WORK]]</f>
        <v>1500</v>
      </c>
      <c r="R19" s="13">
        <f>INDEX(tblParameters[],MATCH(tblDetails[[#This Row],[PROJECT TYPE]],tblParameters[PROJECT TYPE],0),MATCH(tblDetails[[#Headers],[ACCOUNT MANAGER]],tblParameters[#Headers],0))*INDEX('PROJECT PARAMETERS'!$B$14:$H$14,1,MATCH(tblDetails[[#Headers],[ACCOUNT MANAGER]],tblParameters[#Headers],0))*tblDetails[[#This Row],[ACTUAL WORK]]</f>
        <v>8280</v>
      </c>
      <c r="S19" s="13">
        <f>INDEX(tblParameters[],MATCH(tblDetails[[#This Row],[PROJECT TYPE]],tblParameters[PROJECT TYPE],0),MATCH(tblDetails[[#Headers],[PROJECT MANAGER]],tblParameters[#Headers],0))*INDEX('PROJECT PARAMETERS'!$B$14:$H$14,1,MATCH(tblDetails[[#Headers],[PROJECT MANAGER]],tblParameters[#Headers],0))*tblDetails[[#This Row],[ACTUAL WORK]]</f>
        <v>2760</v>
      </c>
      <c r="T19" s="13">
        <f>INDEX(tblParameters[],MATCH(tblDetails[[#This Row],[PROJECT TYPE]],tblParameters[PROJECT TYPE],0),MATCH(tblDetails[[#Headers],[STRATEGY MANAGER]],tblParameters[#Headers],0))*INDEX('PROJECT PARAMETERS'!$B$14:$H$14,1,MATCH(tblDetails[[#Headers],[STRATEGY MANAGER]],tblParameters[#Headers],0))*tblDetails[[#This Row],[ACTUAL WORK]]</f>
        <v>0</v>
      </c>
      <c r="U19" s="13">
        <f>INDEX(tblParameters[],MATCH(tblDetails[[#This Row],[PROJECT TYPE]],tblParameters[PROJECT TYPE],0),MATCH(tblDetails[[#Headers],[DESIGN SPECIALIST]],tblParameters[#Headers],0))*INDEX('PROJECT PARAMETERS'!$B$14:$H$14,1,MATCH(tblDetails[[#Headers],[DESIGN SPECIALIST]],tblParameters[#Headers],0))*tblDetails[[#This Row],[ACTUAL WORK]]</f>
        <v>0</v>
      </c>
      <c r="V19" s="13">
        <f>INDEX(tblParameters[],MATCH(tblDetails[[#This Row],[PROJECT TYPE]],tblParameters[PROJECT TYPE],0),MATCH(tblDetails[[#Headers],[EVENT STAFF]],tblParameters[#Headers],0))*INDEX('PROJECT PARAMETERS'!$B$14:$H$14,1,MATCH(tblDetails[[#Headers],[EVENT STAFF]],tblParameters[#Headers],0))*tblDetails[[#This Row],[ACTUAL WORK]]</f>
        <v>11040</v>
      </c>
      <c r="W19" s="13">
        <f>INDEX(tblParameters[],MATCH(tblDetails[[#This Row],[PROJECT TYPE]],tblParameters[PROJECT TYPE],0),MATCH(tblDetails[[#Headers],[ADMIN STAFF]],tblParameters[#Headers],0))*INDEX('PROJECT PARAMETERS'!$B$14:$H$14,1,MATCH(tblDetails[[#Headers],[ADMIN STAFF]],tblParameters[#Headers],0))*tblDetails[[#This Row],[ACTUAL WORK]]</f>
        <v>1380</v>
      </c>
    </row>
    <row r="20" spans="2:23" x14ac:dyDescent="0.2">
      <c r="B20" t="s">
        <v>25</v>
      </c>
      <c r="C20" t="s">
        <v>8</v>
      </c>
      <c r="D20" s="11">
        <v>41628</v>
      </c>
      <c r="E20" s="11">
        <v>41674</v>
      </c>
      <c r="F20" s="11">
        <v>41666</v>
      </c>
      <c r="G20" s="11">
        <v>41723</v>
      </c>
      <c r="H20">
        <v>240</v>
      </c>
      <c r="I20">
        <v>225</v>
      </c>
      <c r="J20">
        <f>DAYS360(tblDetails[[#This Row],[ESTIMATED START]],tblDetails[[#This Row],[ESTIMATED FINISH]],FALSE)</f>
        <v>44</v>
      </c>
      <c r="K20">
        <f>DAYS360(tblDetails[[#This Row],[ACTUAL START]],tblDetails[[#This Row],[ACTUAL FINISH]],FALSE)</f>
        <v>58</v>
      </c>
      <c r="L20" s="13">
        <f>INDEX(tblParameters[],MATCH(tblDetails[[#This Row],[PROJECT TYPE]],tblParameters[PROJECT TYPE],0),MATCH(tblDetails[[#Headers],[ACCOUNT MANAGER]],tblParameters[#Headers],0))*INDEX('PROJECT PARAMETERS'!$B$14:$H$14,1,MATCH(tblDetails[[#Headers],[ACCOUNT MANAGER]],tblParameters[#Headers],0))*tblDetails[[#This Row],[ESTIMATED WORK]]</f>
        <v>8640</v>
      </c>
      <c r="M20" s="13">
        <f>INDEX(tblParameters[],MATCH(tblDetails[[#This Row],[PROJECT TYPE]],tblParameters[PROJECT TYPE],0),MATCH(tblDetails[[#Headers],[PROJECT MANAGER]],tblParameters[#Headers],0))*INDEX('PROJECT PARAMETERS'!$B$14:$H$14,1,MATCH(tblDetails[[#Headers],[PROJECT MANAGER]],tblParameters[#Headers],0))*tblDetails[[#This Row],[ESTIMATED WORK]]</f>
        <v>17280</v>
      </c>
      <c r="N20" s="13">
        <f>INDEX(tblParameters[],MATCH(tblDetails[[#This Row],[PROJECT TYPE]],tblParameters[PROJECT TYPE],0),MATCH(tblDetails[[#Headers],[STRATEGY MANAGER]],tblParameters[#Headers],0))*INDEX('PROJECT PARAMETERS'!$B$14:$H$14,1,MATCH(tblDetails[[#Headers],[STRATEGY MANAGER]],tblParameters[#Headers],0))*tblDetails[[#This Row],[ESTIMATED WORK]]</f>
        <v>0</v>
      </c>
      <c r="O20" s="13">
        <f>INDEX(tblParameters[],MATCH(tblDetails[[#This Row],[PROJECT TYPE]],tblParameters[PROJECT TYPE],0),MATCH(tblDetails[[#Headers],[DESIGN SPECIALIST]],tblParameters[#Headers],0))*INDEX('PROJECT PARAMETERS'!$B$14:$H$14,1,MATCH(tblDetails[[#Headers],[DESIGN SPECIALIST]],tblParameters[#Headers],0))*tblDetails[[#This Row],[ESTIMATED WORK]]</f>
        <v>0</v>
      </c>
      <c r="P20" s="13">
        <f>INDEX(tblParameters[],MATCH(tblDetails[[#This Row],[PROJECT TYPE]],tblParameters[PROJECT TYPE],0),MATCH(tblDetails[[#Headers],[EVENT STAFF]],tblParameters[#Headers],0))*INDEX('PROJECT PARAMETERS'!$B$14:$H$14,1,MATCH(tblDetails[[#Headers],[EVENT STAFF]],tblParameters[#Headers],0))*tblDetails[[#This Row],[ESTIMATED WORK]]</f>
        <v>1920</v>
      </c>
      <c r="Q20" s="13">
        <f>INDEX(tblParameters[],MATCH(tblDetails[[#This Row],[PROJECT TYPE]],tblParameters[PROJECT TYPE],0),MATCH(tblDetails[[#Headers],[ADMIN STAFF]],tblParameters[#Headers],0))*INDEX('PROJECT PARAMETERS'!$B$14:$H$14,1,MATCH(tblDetails[[#Headers],[ADMIN STAFF]],tblParameters[#Headers],0))*tblDetails[[#This Row],[ESTIMATED WORK]]</f>
        <v>1440</v>
      </c>
      <c r="R20" s="13">
        <f>INDEX(tblParameters[],MATCH(tblDetails[[#This Row],[PROJECT TYPE]],tblParameters[PROJECT TYPE],0),MATCH(tblDetails[[#Headers],[ACCOUNT MANAGER]],tblParameters[#Headers],0))*INDEX('PROJECT PARAMETERS'!$B$14:$H$14,1,MATCH(tblDetails[[#Headers],[ACCOUNT MANAGER]],tblParameters[#Headers],0))*tblDetails[[#This Row],[ACTUAL WORK]]</f>
        <v>8100</v>
      </c>
      <c r="S20" s="13">
        <f>INDEX(tblParameters[],MATCH(tblDetails[[#This Row],[PROJECT TYPE]],tblParameters[PROJECT TYPE],0),MATCH(tblDetails[[#Headers],[PROJECT MANAGER]],tblParameters[#Headers],0))*INDEX('PROJECT PARAMETERS'!$B$14:$H$14,1,MATCH(tblDetails[[#Headers],[PROJECT MANAGER]],tblParameters[#Headers],0))*tblDetails[[#This Row],[ACTUAL WORK]]</f>
        <v>16200</v>
      </c>
      <c r="T20" s="13">
        <f>INDEX(tblParameters[],MATCH(tblDetails[[#This Row],[PROJECT TYPE]],tblParameters[PROJECT TYPE],0),MATCH(tblDetails[[#Headers],[STRATEGY MANAGER]],tblParameters[#Headers],0))*INDEX('PROJECT PARAMETERS'!$B$14:$H$14,1,MATCH(tblDetails[[#Headers],[STRATEGY MANAGER]],tblParameters[#Headers],0))*tblDetails[[#This Row],[ACTUAL WORK]]</f>
        <v>0</v>
      </c>
      <c r="U20" s="13">
        <f>INDEX(tblParameters[],MATCH(tblDetails[[#This Row],[PROJECT TYPE]],tblParameters[PROJECT TYPE],0),MATCH(tblDetails[[#Headers],[DESIGN SPECIALIST]],tblParameters[#Headers],0))*INDEX('PROJECT PARAMETERS'!$B$14:$H$14,1,MATCH(tblDetails[[#Headers],[DESIGN SPECIALIST]],tblParameters[#Headers],0))*tblDetails[[#This Row],[ACTUAL WORK]]</f>
        <v>0</v>
      </c>
      <c r="V20" s="13">
        <f>INDEX(tblParameters[],MATCH(tblDetails[[#This Row],[PROJECT TYPE]],tblParameters[PROJECT TYPE],0),MATCH(tblDetails[[#Headers],[EVENT STAFF]],tblParameters[#Headers],0))*INDEX('PROJECT PARAMETERS'!$B$14:$H$14,1,MATCH(tblDetails[[#Headers],[EVENT STAFF]],tblParameters[#Headers],0))*tblDetails[[#This Row],[ACTUAL WORK]]</f>
        <v>1800</v>
      </c>
      <c r="W20" s="13">
        <f>INDEX(tblParameters[],MATCH(tblDetails[[#This Row],[PROJECT TYPE]],tblParameters[PROJECT TYPE],0),MATCH(tblDetails[[#Headers],[ADMIN STAFF]],tblParameters[#Headers],0))*INDEX('PROJECT PARAMETERS'!$B$14:$H$14,1,MATCH(tblDetails[[#Headers],[ADMIN STAFF]],tblParameters[#Headers],0))*tblDetails[[#This Row],[ACTUAL WORK]]</f>
        <v>1350</v>
      </c>
    </row>
    <row r="21" spans="2:23" x14ac:dyDescent="0.2">
      <c r="B21" t="s">
        <v>26</v>
      </c>
      <c r="C21" t="s">
        <v>7</v>
      </c>
      <c r="D21" s="11">
        <v>41636</v>
      </c>
      <c r="E21" s="11">
        <v>41703</v>
      </c>
      <c r="F21" s="11">
        <v>41656</v>
      </c>
      <c r="G21" s="11">
        <v>41739</v>
      </c>
      <c r="H21">
        <v>320</v>
      </c>
      <c r="I21">
        <v>305</v>
      </c>
      <c r="J21">
        <f>DAYS360(tblDetails[[#This Row],[ESTIMATED START]],tblDetails[[#This Row],[ESTIMATED FINISH]],FALSE)</f>
        <v>67</v>
      </c>
      <c r="K21">
        <f>DAYS360(tblDetails[[#This Row],[ACTUAL START]],tblDetails[[#This Row],[ACTUAL FINISH]],FALSE)</f>
        <v>83</v>
      </c>
      <c r="L21" s="13">
        <f>INDEX(tblParameters[],MATCH(tblDetails[[#This Row],[PROJECT TYPE]],tblParameters[PROJECT TYPE],0),MATCH(tblDetails[[#Headers],[ACCOUNT MANAGER]],tblParameters[#Headers],0))*INDEX('PROJECT PARAMETERS'!$B$14:$H$14,1,MATCH(tblDetails[[#Headers],[ACCOUNT MANAGER]],tblParameters[#Headers],0))*tblDetails[[#This Row],[ESTIMATED WORK]]</f>
        <v>11520</v>
      </c>
      <c r="M21" s="13">
        <f>INDEX(tblParameters[],MATCH(tblDetails[[#This Row],[PROJECT TYPE]],tblParameters[PROJECT TYPE],0),MATCH(tblDetails[[#Headers],[PROJECT MANAGER]],tblParameters[#Headers],0))*INDEX('PROJECT PARAMETERS'!$B$14:$H$14,1,MATCH(tblDetails[[#Headers],[PROJECT MANAGER]],tblParameters[#Headers],0))*tblDetails[[#This Row],[ESTIMATED WORK]]</f>
        <v>7680</v>
      </c>
      <c r="N21" s="13">
        <f>INDEX(tblParameters[],MATCH(tblDetails[[#This Row],[PROJECT TYPE]],tblParameters[PROJECT TYPE],0),MATCH(tblDetails[[#Headers],[STRATEGY MANAGER]],tblParameters[#Headers],0))*INDEX('PROJECT PARAMETERS'!$B$14:$H$14,1,MATCH(tblDetails[[#Headers],[STRATEGY MANAGER]],tblParameters[#Headers],0))*tblDetails[[#This Row],[ESTIMATED WORK]]</f>
        <v>0</v>
      </c>
      <c r="O21" s="13">
        <f>INDEX(tblParameters[],MATCH(tblDetails[[#This Row],[PROJECT TYPE]],tblParameters[PROJECT TYPE],0),MATCH(tblDetails[[#Headers],[DESIGN SPECIALIST]],tblParameters[#Headers],0))*INDEX('PROJECT PARAMETERS'!$B$14:$H$14,1,MATCH(tblDetails[[#Headers],[DESIGN SPECIALIST]],tblParameters[#Headers],0))*tblDetails[[#This Row],[ESTIMATED WORK]]</f>
        <v>16000</v>
      </c>
      <c r="P21" s="13">
        <f>INDEX(tblParameters[],MATCH(tblDetails[[#This Row],[PROJECT TYPE]],tblParameters[PROJECT TYPE],0),MATCH(tblDetails[[#Headers],[EVENT STAFF]],tblParameters[#Headers],0))*INDEX('PROJECT PARAMETERS'!$B$14:$H$14,1,MATCH(tblDetails[[#Headers],[EVENT STAFF]],tblParameters[#Headers],0))*tblDetails[[#This Row],[ESTIMATED WORK]]</f>
        <v>0</v>
      </c>
      <c r="Q21" s="13">
        <f>INDEX(tblParameters[],MATCH(tblDetails[[#This Row],[PROJECT TYPE]],tblParameters[PROJECT TYPE],0),MATCH(tblDetails[[#Headers],[ADMIN STAFF]],tblParameters[#Headers],0))*INDEX('PROJECT PARAMETERS'!$B$14:$H$14,1,MATCH(tblDetails[[#Headers],[ADMIN STAFF]],tblParameters[#Headers],0))*tblDetails[[#This Row],[ESTIMATED WORK]]</f>
        <v>1920</v>
      </c>
      <c r="R21" s="13">
        <f>INDEX(tblParameters[],MATCH(tblDetails[[#This Row],[PROJECT TYPE]],tblParameters[PROJECT TYPE],0),MATCH(tblDetails[[#Headers],[ACCOUNT MANAGER]],tblParameters[#Headers],0))*INDEX('PROJECT PARAMETERS'!$B$14:$H$14,1,MATCH(tblDetails[[#Headers],[ACCOUNT MANAGER]],tblParameters[#Headers],0))*tblDetails[[#This Row],[ACTUAL WORK]]</f>
        <v>10980</v>
      </c>
      <c r="S21" s="13">
        <f>INDEX(tblParameters[],MATCH(tblDetails[[#This Row],[PROJECT TYPE]],tblParameters[PROJECT TYPE],0),MATCH(tblDetails[[#Headers],[PROJECT MANAGER]],tblParameters[#Headers],0))*INDEX('PROJECT PARAMETERS'!$B$14:$H$14,1,MATCH(tblDetails[[#Headers],[PROJECT MANAGER]],tblParameters[#Headers],0))*tblDetails[[#This Row],[ACTUAL WORK]]</f>
        <v>7320</v>
      </c>
      <c r="T21" s="13">
        <f>INDEX(tblParameters[],MATCH(tblDetails[[#This Row],[PROJECT TYPE]],tblParameters[PROJECT TYPE],0),MATCH(tblDetails[[#Headers],[STRATEGY MANAGER]],tblParameters[#Headers],0))*INDEX('PROJECT PARAMETERS'!$B$14:$H$14,1,MATCH(tblDetails[[#Headers],[STRATEGY MANAGER]],tblParameters[#Headers],0))*tblDetails[[#This Row],[ACTUAL WORK]]</f>
        <v>0</v>
      </c>
      <c r="U21" s="13">
        <f>INDEX(tblParameters[],MATCH(tblDetails[[#This Row],[PROJECT TYPE]],tblParameters[PROJECT TYPE],0),MATCH(tblDetails[[#Headers],[DESIGN SPECIALIST]],tblParameters[#Headers],0))*INDEX('PROJECT PARAMETERS'!$B$14:$H$14,1,MATCH(tblDetails[[#Headers],[DESIGN SPECIALIST]],tblParameters[#Headers],0))*tblDetails[[#This Row],[ACTUAL WORK]]</f>
        <v>15250</v>
      </c>
      <c r="V21" s="13">
        <f>INDEX(tblParameters[],MATCH(tblDetails[[#This Row],[PROJECT TYPE]],tblParameters[PROJECT TYPE],0),MATCH(tblDetails[[#Headers],[EVENT STAFF]],tblParameters[#Headers],0))*INDEX('PROJECT PARAMETERS'!$B$14:$H$14,1,MATCH(tblDetails[[#Headers],[EVENT STAFF]],tblParameters[#Headers],0))*tblDetails[[#This Row],[ACTUAL WORK]]</f>
        <v>0</v>
      </c>
      <c r="W21" s="13">
        <f>INDEX(tblParameters[],MATCH(tblDetails[[#This Row],[PROJECT TYPE]],tblParameters[PROJECT TYPE],0),MATCH(tblDetails[[#Headers],[ADMIN STAFF]],tblParameters[#Headers],0))*INDEX('PROJECT PARAMETERS'!$B$14:$H$14,1,MATCH(tblDetails[[#Headers],[ADMIN STAFF]],tblParameters[#Headers],0))*tblDetails[[#This Row],[ACTUAL WORK]]</f>
        <v>1830</v>
      </c>
    </row>
    <row r="22" spans="2:23" x14ac:dyDescent="0.2">
      <c r="B22" t="s">
        <v>27</v>
      </c>
      <c r="C22" t="s">
        <v>6</v>
      </c>
      <c r="D22" s="11">
        <v>41643</v>
      </c>
      <c r="E22" s="11">
        <v>41704</v>
      </c>
      <c r="F22" s="11">
        <v>41673</v>
      </c>
      <c r="G22" s="11">
        <v>41735</v>
      </c>
      <c r="H22">
        <v>550</v>
      </c>
      <c r="I22">
        <v>565</v>
      </c>
      <c r="J22">
        <f>DAYS360(tblDetails[[#This Row],[ESTIMATED START]],tblDetails[[#This Row],[ESTIMATED FINISH]],FALSE)</f>
        <v>62</v>
      </c>
      <c r="K22">
        <f>DAYS360(tblDetails[[#This Row],[ACTUAL START]],tblDetails[[#This Row],[ACTUAL FINISH]],FALSE)</f>
        <v>63</v>
      </c>
      <c r="L22" s="13">
        <f>INDEX(tblParameters[],MATCH(tblDetails[[#This Row],[PROJECT TYPE]],tblParameters[PROJECT TYPE],0),MATCH(tblDetails[[#Headers],[ACCOUNT MANAGER]],tblParameters[#Headers],0))*INDEX('PROJECT PARAMETERS'!$B$14:$H$14,1,MATCH(tblDetails[[#Headers],[ACCOUNT MANAGER]],tblParameters[#Headers],0))*tblDetails[[#This Row],[ESTIMATED WORK]]</f>
        <v>19800</v>
      </c>
      <c r="M22" s="13">
        <f>INDEX(tblParameters[],MATCH(tblDetails[[#This Row],[PROJECT TYPE]],tblParameters[PROJECT TYPE],0),MATCH(tblDetails[[#Headers],[PROJECT MANAGER]],tblParameters[#Headers],0))*INDEX('PROJECT PARAMETERS'!$B$14:$H$14,1,MATCH(tblDetails[[#Headers],[PROJECT MANAGER]],tblParameters[#Headers],0))*tblDetails[[#This Row],[ESTIMATED WORK]]</f>
        <v>33000</v>
      </c>
      <c r="N22" s="13">
        <f>INDEX(tblParameters[],MATCH(tblDetails[[#This Row],[PROJECT TYPE]],tblParameters[PROJECT TYPE],0),MATCH(tblDetails[[#Headers],[STRATEGY MANAGER]],tblParameters[#Headers],0))*INDEX('PROJECT PARAMETERS'!$B$14:$H$14,1,MATCH(tblDetails[[#Headers],[STRATEGY MANAGER]],tblParameters[#Headers],0))*tblDetails[[#This Row],[ESTIMATED WORK]]</f>
        <v>8250</v>
      </c>
      <c r="O22" s="13">
        <f>INDEX(tblParameters[],MATCH(tblDetails[[#This Row],[PROJECT TYPE]],tblParameters[PROJECT TYPE],0),MATCH(tblDetails[[#Headers],[DESIGN SPECIALIST]],tblParameters[#Headers],0))*INDEX('PROJECT PARAMETERS'!$B$14:$H$14,1,MATCH(tblDetails[[#Headers],[DESIGN SPECIALIST]],tblParameters[#Headers],0))*tblDetails[[#This Row],[ESTIMATED WORK]]</f>
        <v>5500</v>
      </c>
      <c r="P22" s="13">
        <f>INDEX(tblParameters[],MATCH(tblDetails[[#This Row],[PROJECT TYPE]],tblParameters[PROJECT TYPE],0),MATCH(tblDetails[[#Headers],[EVENT STAFF]],tblParameters[#Headers],0))*INDEX('PROJECT PARAMETERS'!$B$14:$H$14,1,MATCH(tblDetails[[#Headers],[EVENT STAFF]],tblParameters[#Headers],0))*tblDetails[[#This Row],[ESTIMATED WORK]]</f>
        <v>0</v>
      </c>
      <c r="Q22" s="13">
        <f>INDEX(tblParameters[],MATCH(tblDetails[[#This Row],[PROJECT TYPE]],tblParameters[PROJECT TYPE],0),MATCH(tblDetails[[#Headers],[ADMIN STAFF]],tblParameters[#Headers],0))*INDEX('PROJECT PARAMETERS'!$B$14:$H$14,1,MATCH(tblDetails[[#Headers],[ADMIN STAFF]],tblParameters[#Headers],0))*tblDetails[[#This Row],[ESTIMATED WORK]]</f>
        <v>3300</v>
      </c>
      <c r="R22" s="13">
        <f>INDEX(tblParameters[],MATCH(tblDetails[[#This Row],[PROJECT TYPE]],tblParameters[PROJECT TYPE],0),MATCH(tblDetails[[#Headers],[ACCOUNT MANAGER]],tblParameters[#Headers],0))*INDEX('PROJECT PARAMETERS'!$B$14:$H$14,1,MATCH(tblDetails[[#Headers],[ACCOUNT MANAGER]],tblParameters[#Headers],0))*tblDetails[[#This Row],[ACTUAL WORK]]</f>
        <v>20340</v>
      </c>
      <c r="S22" s="13">
        <f>INDEX(tblParameters[],MATCH(tblDetails[[#This Row],[PROJECT TYPE]],tblParameters[PROJECT TYPE],0),MATCH(tblDetails[[#Headers],[PROJECT MANAGER]],tblParameters[#Headers],0))*INDEX('PROJECT PARAMETERS'!$B$14:$H$14,1,MATCH(tblDetails[[#Headers],[PROJECT MANAGER]],tblParameters[#Headers],0))*tblDetails[[#This Row],[ACTUAL WORK]]</f>
        <v>33900</v>
      </c>
      <c r="T22" s="13">
        <f>INDEX(tblParameters[],MATCH(tblDetails[[#This Row],[PROJECT TYPE]],tblParameters[PROJECT TYPE],0),MATCH(tblDetails[[#Headers],[STRATEGY MANAGER]],tblParameters[#Headers],0))*INDEX('PROJECT PARAMETERS'!$B$14:$H$14,1,MATCH(tblDetails[[#Headers],[STRATEGY MANAGER]],tblParameters[#Headers],0))*tblDetails[[#This Row],[ACTUAL WORK]]</f>
        <v>8475</v>
      </c>
      <c r="U22" s="13">
        <f>INDEX(tblParameters[],MATCH(tblDetails[[#This Row],[PROJECT TYPE]],tblParameters[PROJECT TYPE],0),MATCH(tblDetails[[#Headers],[DESIGN SPECIALIST]],tblParameters[#Headers],0))*INDEX('PROJECT PARAMETERS'!$B$14:$H$14,1,MATCH(tblDetails[[#Headers],[DESIGN SPECIALIST]],tblParameters[#Headers],0))*tblDetails[[#This Row],[ACTUAL WORK]]</f>
        <v>5650</v>
      </c>
      <c r="V22" s="13">
        <f>INDEX(tblParameters[],MATCH(tblDetails[[#This Row],[PROJECT TYPE]],tblParameters[PROJECT TYPE],0),MATCH(tblDetails[[#Headers],[EVENT STAFF]],tblParameters[#Headers],0))*INDEX('PROJECT PARAMETERS'!$B$14:$H$14,1,MATCH(tblDetails[[#Headers],[EVENT STAFF]],tblParameters[#Headers],0))*tblDetails[[#This Row],[ACTUAL WORK]]</f>
        <v>0</v>
      </c>
      <c r="W22" s="13">
        <f>INDEX(tblParameters[],MATCH(tblDetails[[#This Row],[PROJECT TYPE]],tblParameters[PROJECT TYPE],0),MATCH(tblDetails[[#Headers],[ADMIN STAFF]],tblParameters[#Headers],0))*INDEX('PROJECT PARAMETERS'!$B$14:$H$14,1,MATCH(tblDetails[[#Headers],[ADMIN STAFF]],tblParameters[#Headers],0))*tblDetails[[#This Row],[ACTUAL WORK]]</f>
        <v>3390</v>
      </c>
    </row>
    <row r="23" spans="2:23" x14ac:dyDescent="0.2">
      <c r="B23" t="s">
        <v>28</v>
      </c>
      <c r="C23" t="s">
        <v>7</v>
      </c>
      <c r="D23" s="11">
        <v>41662</v>
      </c>
      <c r="E23" s="11">
        <v>41705</v>
      </c>
      <c r="F23" s="11">
        <v>41705</v>
      </c>
      <c r="G23" s="11">
        <v>41737</v>
      </c>
      <c r="H23">
        <v>350</v>
      </c>
      <c r="I23">
        <v>350</v>
      </c>
      <c r="J23">
        <f>DAYS360(tblDetails[[#This Row],[ESTIMATED START]],tblDetails[[#This Row],[ESTIMATED FINISH]],FALSE)</f>
        <v>44</v>
      </c>
      <c r="K23">
        <f>DAYS360(tblDetails[[#This Row],[ACTUAL START]],tblDetails[[#This Row],[ACTUAL FINISH]],FALSE)</f>
        <v>31</v>
      </c>
      <c r="L23" s="13">
        <f>INDEX(tblParameters[],MATCH(tblDetails[[#This Row],[PROJECT TYPE]],tblParameters[PROJECT TYPE],0),MATCH(tblDetails[[#Headers],[ACCOUNT MANAGER]],tblParameters[#Headers],0))*INDEX('PROJECT PARAMETERS'!$B$14:$H$14,1,MATCH(tblDetails[[#Headers],[ACCOUNT MANAGER]],tblParameters[#Headers],0))*tblDetails[[#This Row],[ESTIMATED WORK]]</f>
        <v>12600</v>
      </c>
      <c r="M23" s="13">
        <f>INDEX(tblParameters[],MATCH(tblDetails[[#This Row],[PROJECT TYPE]],tblParameters[PROJECT TYPE],0),MATCH(tblDetails[[#Headers],[PROJECT MANAGER]],tblParameters[#Headers],0))*INDEX('PROJECT PARAMETERS'!$B$14:$H$14,1,MATCH(tblDetails[[#Headers],[PROJECT MANAGER]],tblParameters[#Headers],0))*tblDetails[[#This Row],[ESTIMATED WORK]]</f>
        <v>8400</v>
      </c>
      <c r="N23" s="13">
        <f>INDEX(tblParameters[],MATCH(tblDetails[[#This Row],[PROJECT TYPE]],tblParameters[PROJECT TYPE],0),MATCH(tblDetails[[#Headers],[STRATEGY MANAGER]],tblParameters[#Headers],0))*INDEX('PROJECT PARAMETERS'!$B$14:$H$14,1,MATCH(tblDetails[[#Headers],[STRATEGY MANAGER]],tblParameters[#Headers],0))*tblDetails[[#This Row],[ESTIMATED WORK]]</f>
        <v>0</v>
      </c>
      <c r="O23" s="13">
        <f>INDEX(tblParameters[],MATCH(tblDetails[[#This Row],[PROJECT TYPE]],tblParameters[PROJECT TYPE],0),MATCH(tblDetails[[#Headers],[DESIGN SPECIALIST]],tblParameters[#Headers],0))*INDEX('PROJECT PARAMETERS'!$B$14:$H$14,1,MATCH(tblDetails[[#Headers],[DESIGN SPECIALIST]],tblParameters[#Headers],0))*tblDetails[[#This Row],[ESTIMATED WORK]]</f>
        <v>17500</v>
      </c>
      <c r="P23" s="13">
        <f>INDEX(tblParameters[],MATCH(tblDetails[[#This Row],[PROJECT TYPE]],tblParameters[PROJECT TYPE],0),MATCH(tblDetails[[#Headers],[EVENT STAFF]],tblParameters[#Headers],0))*INDEX('PROJECT PARAMETERS'!$B$14:$H$14,1,MATCH(tblDetails[[#Headers],[EVENT STAFF]],tblParameters[#Headers],0))*tblDetails[[#This Row],[ESTIMATED WORK]]</f>
        <v>0</v>
      </c>
      <c r="Q23" s="13">
        <f>INDEX(tblParameters[],MATCH(tblDetails[[#This Row],[PROJECT TYPE]],tblParameters[PROJECT TYPE],0),MATCH(tblDetails[[#Headers],[ADMIN STAFF]],tblParameters[#Headers],0))*INDEX('PROJECT PARAMETERS'!$B$14:$H$14,1,MATCH(tblDetails[[#Headers],[ADMIN STAFF]],tblParameters[#Headers],0))*tblDetails[[#This Row],[ESTIMATED WORK]]</f>
        <v>2100</v>
      </c>
      <c r="R23" s="13">
        <f>INDEX(tblParameters[],MATCH(tblDetails[[#This Row],[PROJECT TYPE]],tblParameters[PROJECT TYPE],0),MATCH(tblDetails[[#Headers],[ACCOUNT MANAGER]],tblParameters[#Headers],0))*INDEX('PROJECT PARAMETERS'!$B$14:$H$14,1,MATCH(tblDetails[[#Headers],[ACCOUNT MANAGER]],tblParameters[#Headers],0))*tblDetails[[#This Row],[ACTUAL WORK]]</f>
        <v>12600</v>
      </c>
      <c r="S23" s="13">
        <f>INDEX(tblParameters[],MATCH(tblDetails[[#This Row],[PROJECT TYPE]],tblParameters[PROJECT TYPE],0),MATCH(tblDetails[[#Headers],[PROJECT MANAGER]],tblParameters[#Headers],0))*INDEX('PROJECT PARAMETERS'!$B$14:$H$14,1,MATCH(tblDetails[[#Headers],[PROJECT MANAGER]],tblParameters[#Headers],0))*tblDetails[[#This Row],[ACTUAL WORK]]</f>
        <v>8400</v>
      </c>
      <c r="T23" s="13">
        <f>INDEX(tblParameters[],MATCH(tblDetails[[#This Row],[PROJECT TYPE]],tblParameters[PROJECT TYPE],0),MATCH(tblDetails[[#Headers],[STRATEGY MANAGER]],tblParameters[#Headers],0))*INDEX('PROJECT PARAMETERS'!$B$14:$H$14,1,MATCH(tblDetails[[#Headers],[STRATEGY MANAGER]],tblParameters[#Headers],0))*tblDetails[[#This Row],[ACTUAL WORK]]</f>
        <v>0</v>
      </c>
      <c r="U23" s="13">
        <f>INDEX(tblParameters[],MATCH(tblDetails[[#This Row],[PROJECT TYPE]],tblParameters[PROJECT TYPE],0),MATCH(tblDetails[[#Headers],[DESIGN SPECIALIST]],tblParameters[#Headers],0))*INDEX('PROJECT PARAMETERS'!$B$14:$H$14,1,MATCH(tblDetails[[#Headers],[DESIGN SPECIALIST]],tblParameters[#Headers],0))*tblDetails[[#This Row],[ACTUAL WORK]]</f>
        <v>17500</v>
      </c>
      <c r="V23" s="13">
        <f>INDEX(tblParameters[],MATCH(tblDetails[[#This Row],[PROJECT TYPE]],tblParameters[PROJECT TYPE],0),MATCH(tblDetails[[#Headers],[EVENT STAFF]],tblParameters[#Headers],0))*INDEX('PROJECT PARAMETERS'!$B$14:$H$14,1,MATCH(tblDetails[[#Headers],[EVENT STAFF]],tblParameters[#Headers],0))*tblDetails[[#This Row],[ACTUAL WORK]]</f>
        <v>0</v>
      </c>
      <c r="W23" s="13">
        <f>INDEX(tblParameters[],MATCH(tblDetails[[#This Row],[PROJECT TYPE]],tblParameters[PROJECT TYPE],0),MATCH(tblDetails[[#Headers],[ADMIN STAFF]],tblParameters[#Headers],0))*INDEX('PROJECT PARAMETERS'!$B$14:$H$14,1,MATCH(tblDetails[[#Headers],[ADMIN STAFF]],tblParameters[#Headers],0))*tblDetails[[#This Row],[ACTUAL WORK]]</f>
        <v>2100</v>
      </c>
    </row>
    <row r="24" spans="2:23" x14ac:dyDescent="0.2">
      <c r="B24" t="s">
        <v>29</v>
      </c>
      <c r="C24" t="s">
        <v>5</v>
      </c>
      <c r="D24" s="11">
        <v>41675</v>
      </c>
      <c r="E24" s="11">
        <v>41746</v>
      </c>
      <c r="F24" s="11">
        <v>41705</v>
      </c>
      <c r="G24" s="11">
        <v>41793</v>
      </c>
      <c r="H24">
        <v>200</v>
      </c>
      <c r="I24">
        <v>205</v>
      </c>
      <c r="J24">
        <f>DAYS360(tblDetails[[#This Row],[ESTIMATED START]],tblDetails[[#This Row],[ESTIMATED FINISH]],FALSE)</f>
        <v>72</v>
      </c>
      <c r="K24">
        <f>DAYS360(tblDetails[[#This Row],[ACTUAL START]],tblDetails[[#This Row],[ACTUAL FINISH]],FALSE)</f>
        <v>86</v>
      </c>
      <c r="L24" s="13">
        <f>INDEX(tblParameters[],MATCH(tblDetails[[#This Row],[PROJECT TYPE]],tblParameters[PROJECT TYPE],0),MATCH(tblDetails[[#Headers],[ACCOUNT MANAGER]],tblParameters[#Headers],0))*INDEX('PROJECT PARAMETERS'!$B$14:$H$14,1,MATCH(tblDetails[[#Headers],[ACCOUNT MANAGER]],tblParameters[#Headers],0))*tblDetails[[#This Row],[ESTIMATED WORK]]</f>
        <v>7200</v>
      </c>
      <c r="M24" s="13">
        <f>INDEX(tblParameters[],MATCH(tblDetails[[#This Row],[PROJECT TYPE]],tblParameters[PROJECT TYPE],0),MATCH(tblDetails[[#Headers],[PROJECT MANAGER]],tblParameters[#Headers],0))*INDEX('PROJECT PARAMETERS'!$B$14:$H$14,1,MATCH(tblDetails[[#Headers],[PROJECT MANAGER]],tblParameters[#Headers],0))*tblDetails[[#This Row],[ESTIMATED WORK]]</f>
        <v>2400</v>
      </c>
      <c r="N24" s="13">
        <f>INDEX(tblParameters[],MATCH(tblDetails[[#This Row],[PROJECT TYPE]],tblParameters[PROJECT TYPE],0),MATCH(tblDetails[[#Headers],[STRATEGY MANAGER]],tblParameters[#Headers],0))*INDEX('PROJECT PARAMETERS'!$B$14:$H$14,1,MATCH(tblDetails[[#Headers],[STRATEGY MANAGER]],tblParameters[#Headers],0))*tblDetails[[#This Row],[ESTIMATED WORK]]</f>
        <v>18000</v>
      </c>
      <c r="O24" s="13">
        <f>INDEX(tblParameters[],MATCH(tblDetails[[#This Row],[PROJECT TYPE]],tblParameters[PROJECT TYPE],0),MATCH(tblDetails[[#Headers],[DESIGN SPECIALIST]],tblParameters[#Headers],0))*INDEX('PROJECT PARAMETERS'!$B$14:$H$14,1,MATCH(tblDetails[[#Headers],[DESIGN SPECIALIST]],tblParameters[#Headers],0))*tblDetails[[#This Row],[ESTIMATED WORK]]</f>
        <v>0</v>
      </c>
      <c r="P24" s="13">
        <f>INDEX(tblParameters[],MATCH(tblDetails[[#This Row],[PROJECT TYPE]],tblParameters[PROJECT TYPE],0),MATCH(tblDetails[[#Headers],[EVENT STAFF]],tblParameters[#Headers],0))*INDEX('PROJECT PARAMETERS'!$B$14:$H$14,1,MATCH(tblDetails[[#Headers],[EVENT STAFF]],tblParameters[#Headers],0))*tblDetails[[#This Row],[ESTIMATED WORK]]</f>
        <v>0</v>
      </c>
      <c r="Q24" s="13">
        <f>INDEX(tblParameters[],MATCH(tblDetails[[#This Row],[PROJECT TYPE]],tblParameters[PROJECT TYPE],0),MATCH(tblDetails[[#Headers],[ADMIN STAFF]],tblParameters[#Headers],0))*INDEX('PROJECT PARAMETERS'!$B$14:$H$14,1,MATCH(tblDetails[[#Headers],[ADMIN STAFF]],tblParameters[#Headers],0))*tblDetails[[#This Row],[ESTIMATED WORK]]</f>
        <v>1200</v>
      </c>
      <c r="R24" s="13">
        <f>INDEX(tblParameters[],MATCH(tblDetails[[#This Row],[PROJECT TYPE]],tblParameters[PROJECT TYPE],0),MATCH(tblDetails[[#Headers],[ACCOUNT MANAGER]],tblParameters[#Headers],0))*INDEX('PROJECT PARAMETERS'!$B$14:$H$14,1,MATCH(tblDetails[[#Headers],[ACCOUNT MANAGER]],tblParameters[#Headers],0))*tblDetails[[#This Row],[ACTUAL WORK]]</f>
        <v>7380</v>
      </c>
      <c r="S24" s="13">
        <f>INDEX(tblParameters[],MATCH(tblDetails[[#This Row],[PROJECT TYPE]],tblParameters[PROJECT TYPE],0),MATCH(tblDetails[[#Headers],[PROJECT MANAGER]],tblParameters[#Headers],0))*INDEX('PROJECT PARAMETERS'!$B$14:$H$14,1,MATCH(tblDetails[[#Headers],[PROJECT MANAGER]],tblParameters[#Headers],0))*tblDetails[[#This Row],[ACTUAL WORK]]</f>
        <v>2460</v>
      </c>
      <c r="T24" s="13">
        <f>INDEX(tblParameters[],MATCH(tblDetails[[#This Row],[PROJECT TYPE]],tblParameters[PROJECT TYPE],0),MATCH(tblDetails[[#Headers],[STRATEGY MANAGER]],tblParameters[#Headers],0))*INDEX('PROJECT PARAMETERS'!$B$14:$H$14,1,MATCH(tblDetails[[#Headers],[STRATEGY MANAGER]],tblParameters[#Headers],0))*tblDetails[[#This Row],[ACTUAL WORK]]</f>
        <v>18450</v>
      </c>
      <c r="U24" s="13">
        <f>INDEX(tblParameters[],MATCH(tblDetails[[#This Row],[PROJECT TYPE]],tblParameters[PROJECT TYPE],0),MATCH(tblDetails[[#Headers],[DESIGN SPECIALIST]],tblParameters[#Headers],0))*INDEX('PROJECT PARAMETERS'!$B$14:$H$14,1,MATCH(tblDetails[[#Headers],[DESIGN SPECIALIST]],tblParameters[#Headers],0))*tblDetails[[#This Row],[ACTUAL WORK]]</f>
        <v>0</v>
      </c>
      <c r="V24" s="13">
        <f>INDEX(tblParameters[],MATCH(tblDetails[[#This Row],[PROJECT TYPE]],tblParameters[PROJECT TYPE],0),MATCH(tblDetails[[#Headers],[EVENT STAFF]],tblParameters[#Headers],0))*INDEX('PROJECT PARAMETERS'!$B$14:$H$14,1,MATCH(tblDetails[[#Headers],[EVENT STAFF]],tblParameters[#Headers],0))*tblDetails[[#This Row],[ACTUAL WORK]]</f>
        <v>0</v>
      </c>
      <c r="W24" s="13">
        <f>INDEX(tblParameters[],MATCH(tblDetails[[#This Row],[PROJECT TYPE]],tblParameters[PROJECT TYPE],0),MATCH(tblDetails[[#Headers],[ADMIN STAFF]],tblParameters[#Headers],0))*INDEX('PROJECT PARAMETERS'!$B$14:$H$14,1,MATCH(tblDetails[[#Headers],[ADMIN STAFF]],tblParameters[#Headers],0))*tblDetails[[#This Row],[ACTUAL WORK]]</f>
        <v>1230</v>
      </c>
    </row>
    <row r="25" spans="2:23" x14ac:dyDescent="0.2">
      <c r="B25" t="s">
        <v>30</v>
      </c>
      <c r="C25" t="s">
        <v>6</v>
      </c>
      <c r="D25" s="11">
        <v>41685</v>
      </c>
      <c r="E25" s="11">
        <v>41759</v>
      </c>
      <c r="F25" s="11">
        <v>41724</v>
      </c>
      <c r="G25" s="11">
        <v>41799</v>
      </c>
      <c r="H25">
        <v>220</v>
      </c>
      <c r="I25">
        <v>230</v>
      </c>
      <c r="J25">
        <f>DAYS360(tblDetails[[#This Row],[ESTIMATED START]],tblDetails[[#This Row],[ESTIMATED FINISH]],FALSE)</f>
        <v>75</v>
      </c>
      <c r="K25">
        <f>DAYS360(tblDetails[[#This Row],[ACTUAL START]],tblDetails[[#This Row],[ACTUAL FINISH]],FALSE)</f>
        <v>73</v>
      </c>
      <c r="L25" s="13">
        <f>INDEX(tblParameters[],MATCH(tblDetails[[#This Row],[PROJECT TYPE]],tblParameters[PROJECT TYPE],0),MATCH(tblDetails[[#Headers],[ACCOUNT MANAGER]],tblParameters[#Headers],0))*INDEX('PROJECT PARAMETERS'!$B$14:$H$14,1,MATCH(tblDetails[[#Headers],[ACCOUNT MANAGER]],tblParameters[#Headers],0))*tblDetails[[#This Row],[ESTIMATED WORK]]</f>
        <v>7920</v>
      </c>
      <c r="M25" s="13">
        <f>INDEX(tblParameters[],MATCH(tblDetails[[#This Row],[PROJECT TYPE]],tblParameters[PROJECT TYPE],0),MATCH(tblDetails[[#Headers],[PROJECT MANAGER]],tblParameters[#Headers],0))*INDEX('PROJECT PARAMETERS'!$B$14:$H$14,1,MATCH(tblDetails[[#Headers],[PROJECT MANAGER]],tblParameters[#Headers],0))*tblDetails[[#This Row],[ESTIMATED WORK]]</f>
        <v>13200</v>
      </c>
      <c r="N25" s="13">
        <f>INDEX(tblParameters[],MATCH(tblDetails[[#This Row],[PROJECT TYPE]],tblParameters[PROJECT TYPE],0),MATCH(tblDetails[[#Headers],[STRATEGY MANAGER]],tblParameters[#Headers],0))*INDEX('PROJECT PARAMETERS'!$B$14:$H$14,1,MATCH(tblDetails[[#Headers],[STRATEGY MANAGER]],tblParameters[#Headers],0))*tblDetails[[#This Row],[ESTIMATED WORK]]</f>
        <v>3300</v>
      </c>
      <c r="O25" s="13">
        <f>INDEX(tblParameters[],MATCH(tblDetails[[#This Row],[PROJECT TYPE]],tblParameters[PROJECT TYPE],0),MATCH(tblDetails[[#Headers],[DESIGN SPECIALIST]],tblParameters[#Headers],0))*INDEX('PROJECT PARAMETERS'!$B$14:$H$14,1,MATCH(tblDetails[[#Headers],[DESIGN SPECIALIST]],tblParameters[#Headers],0))*tblDetails[[#This Row],[ESTIMATED WORK]]</f>
        <v>2200</v>
      </c>
      <c r="P25" s="13">
        <f>INDEX(tblParameters[],MATCH(tblDetails[[#This Row],[PROJECT TYPE]],tblParameters[PROJECT TYPE],0),MATCH(tblDetails[[#Headers],[EVENT STAFF]],tblParameters[#Headers],0))*INDEX('PROJECT PARAMETERS'!$B$14:$H$14,1,MATCH(tblDetails[[#Headers],[EVENT STAFF]],tblParameters[#Headers],0))*tblDetails[[#This Row],[ESTIMATED WORK]]</f>
        <v>0</v>
      </c>
      <c r="Q25" s="13">
        <f>INDEX(tblParameters[],MATCH(tblDetails[[#This Row],[PROJECT TYPE]],tblParameters[PROJECT TYPE],0),MATCH(tblDetails[[#Headers],[ADMIN STAFF]],tblParameters[#Headers],0))*INDEX('PROJECT PARAMETERS'!$B$14:$H$14,1,MATCH(tblDetails[[#Headers],[ADMIN STAFF]],tblParameters[#Headers],0))*tblDetails[[#This Row],[ESTIMATED WORK]]</f>
        <v>1320</v>
      </c>
      <c r="R25" s="13">
        <f>INDEX(tblParameters[],MATCH(tblDetails[[#This Row],[PROJECT TYPE]],tblParameters[PROJECT TYPE],0),MATCH(tblDetails[[#Headers],[ACCOUNT MANAGER]],tblParameters[#Headers],0))*INDEX('PROJECT PARAMETERS'!$B$14:$H$14,1,MATCH(tblDetails[[#Headers],[ACCOUNT MANAGER]],tblParameters[#Headers],0))*tblDetails[[#This Row],[ACTUAL WORK]]</f>
        <v>8280</v>
      </c>
      <c r="S25" s="13">
        <f>INDEX(tblParameters[],MATCH(tblDetails[[#This Row],[PROJECT TYPE]],tblParameters[PROJECT TYPE],0),MATCH(tblDetails[[#Headers],[PROJECT MANAGER]],tblParameters[#Headers],0))*INDEX('PROJECT PARAMETERS'!$B$14:$H$14,1,MATCH(tblDetails[[#Headers],[PROJECT MANAGER]],tblParameters[#Headers],0))*tblDetails[[#This Row],[ACTUAL WORK]]</f>
        <v>13800</v>
      </c>
      <c r="T25" s="13">
        <f>INDEX(tblParameters[],MATCH(tblDetails[[#This Row],[PROJECT TYPE]],tblParameters[PROJECT TYPE],0),MATCH(tblDetails[[#Headers],[STRATEGY MANAGER]],tblParameters[#Headers],0))*INDEX('PROJECT PARAMETERS'!$B$14:$H$14,1,MATCH(tblDetails[[#Headers],[STRATEGY MANAGER]],tblParameters[#Headers],0))*tblDetails[[#This Row],[ACTUAL WORK]]</f>
        <v>3450</v>
      </c>
      <c r="U25" s="13">
        <f>INDEX(tblParameters[],MATCH(tblDetails[[#This Row],[PROJECT TYPE]],tblParameters[PROJECT TYPE],0),MATCH(tblDetails[[#Headers],[DESIGN SPECIALIST]],tblParameters[#Headers],0))*INDEX('PROJECT PARAMETERS'!$B$14:$H$14,1,MATCH(tblDetails[[#Headers],[DESIGN SPECIALIST]],tblParameters[#Headers],0))*tblDetails[[#This Row],[ACTUAL WORK]]</f>
        <v>2300</v>
      </c>
      <c r="V25" s="13">
        <f>INDEX(tblParameters[],MATCH(tblDetails[[#This Row],[PROJECT TYPE]],tblParameters[PROJECT TYPE],0),MATCH(tblDetails[[#Headers],[EVENT STAFF]],tblParameters[#Headers],0))*INDEX('PROJECT PARAMETERS'!$B$14:$H$14,1,MATCH(tblDetails[[#Headers],[EVENT STAFF]],tblParameters[#Headers],0))*tblDetails[[#This Row],[ACTUAL WORK]]</f>
        <v>0</v>
      </c>
      <c r="W25" s="13">
        <f>INDEX(tblParameters[],MATCH(tblDetails[[#This Row],[PROJECT TYPE]],tblParameters[PROJECT TYPE],0),MATCH(tblDetails[[#Headers],[ADMIN STAFF]],tblParameters[#Headers],0))*INDEX('PROJECT PARAMETERS'!$B$14:$H$14,1,MATCH(tblDetails[[#Headers],[ADMIN STAFF]],tblParameters[#Headers],0))*tblDetails[[#This Row],[ACTUAL WORK]]</f>
        <v>1380</v>
      </c>
    </row>
    <row r="26" spans="2:23" x14ac:dyDescent="0.2">
      <c r="B26" t="s">
        <v>31</v>
      </c>
      <c r="C26" t="s">
        <v>10</v>
      </c>
      <c r="D26" s="11">
        <v>41715</v>
      </c>
      <c r="E26" s="11">
        <v>41784</v>
      </c>
      <c r="F26" s="11">
        <v>41758</v>
      </c>
      <c r="G26" s="11">
        <v>41821</v>
      </c>
      <c r="H26">
        <v>600</v>
      </c>
      <c r="I26">
        <v>560</v>
      </c>
      <c r="J26">
        <f>DAYS360(tblDetails[[#This Row],[ESTIMATED START]],tblDetails[[#This Row],[ESTIMATED FINISH]],FALSE)</f>
        <v>68</v>
      </c>
      <c r="K26">
        <f>DAYS360(tblDetails[[#This Row],[ACTUAL START]],tblDetails[[#This Row],[ACTUAL FINISH]],FALSE)</f>
        <v>62</v>
      </c>
      <c r="L26" s="13">
        <f>INDEX(tblParameters[],MATCH(tblDetails[[#This Row],[PROJECT TYPE]],tblParameters[PROJECT TYPE],0),MATCH(tblDetails[[#Headers],[ACCOUNT MANAGER]],tblParameters[#Headers],0))*INDEX('PROJECT PARAMETERS'!$B$14:$H$14,1,MATCH(tblDetails[[#Headers],[ACCOUNT MANAGER]],tblParameters[#Headers],0))*tblDetails[[#This Row],[ESTIMATED WORK]]</f>
        <v>21600</v>
      </c>
      <c r="M26" s="13">
        <f>INDEX(tblParameters[],MATCH(tblDetails[[#This Row],[PROJECT TYPE]],tblParameters[PROJECT TYPE],0),MATCH(tblDetails[[#Headers],[PROJECT MANAGER]],tblParameters[#Headers],0))*INDEX('PROJECT PARAMETERS'!$B$14:$H$14,1,MATCH(tblDetails[[#Headers],[PROJECT MANAGER]],tblParameters[#Headers],0))*tblDetails[[#This Row],[ESTIMATED WORK]]</f>
        <v>14400</v>
      </c>
      <c r="N26" s="13">
        <f>INDEX(tblParameters[],MATCH(tblDetails[[#This Row],[PROJECT TYPE]],tblParameters[PROJECT TYPE],0),MATCH(tblDetails[[#Headers],[STRATEGY MANAGER]],tblParameters[#Headers],0))*INDEX('PROJECT PARAMETERS'!$B$14:$H$14,1,MATCH(tblDetails[[#Headers],[STRATEGY MANAGER]],tblParameters[#Headers],0))*tblDetails[[#This Row],[ESTIMATED WORK]]</f>
        <v>18000</v>
      </c>
      <c r="O26" s="13">
        <f>INDEX(tblParameters[],MATCH(tblDetails[[#This Row],[PROJECT TYPE]],tblParameters[PROJECT TYPE],0),MATCH(tblDetails[[#Headers],[DESIGN SPECIALIST]],tblParameters[#Headers],0))*INDEX('PROJECT PARAMETERS'!$B$14:$H$14,1,MATCH(tblDetails[[#Headers],[DESIGN SPECIALIST]],tblParameters[#Headers],0))*tblDetails[[#This Row],[ESTIMATED WORK]]</f>
        <v>12000</v>
      </c>
      <c r="P26" s="13">
        <f>INDEX(tblParameters[],MATCH(tblDetails[[#This Row],[PROJECT TYPE]],tblParameters[PROJECT TYPE],0),MATCH(tblDetails[[#Headers],[EVENT STAFF]],tblParameters[#Headers],0))*INDEX('PROJECT PARAMETERS'!$B$14:$H$14,1,MATCH(tblDetails[[#Headers],[EVENT STAFF]],tblParameters[#Headers],0))*tblDetails[[#This Row],[ESTIMATED WORK]]</f>
        <v>0</v>
      </c>
      <c r="Q26" s="13">
        <f>INDEX(tblParameters[],MATCH(tblDetails[[#This Row],[PROJECT TYPE]],tblParameters[PROJECT TYPE],0),MATCH(tblDetails[[#Headers],[ADMIN STAFF]],tblParameters[#Headers],0))*INDEX('PROJECT PARAMETERS'!$B$14:$H$14,1,MATCH(tblDetails[[#Headers],[ADMIN STAFF]],tblParameters[#Headers],0))*tblDetails[[#This Row],[ESTIMATED WORK]]</f>
        <v>7200</v>
      </c>
      <c r="R26" s="13">
        <f>INDEX(tblParameters[],MATCH(tblDetails[[#This Row],[PROJECT TYPE]],tblParameters[PROJECT TYPE],0),MATCH(tblDetails[[#Headers],[ACCOUNT MANAGER]],tblParameters[#Headers],0))*INDEX('PROJECT PARAMETERS'!$B$14:$H$14,1,MATCH(tblDetails[[#Headers],[ACCOUNT MANAGER]],tblParameters[#Headers],0))*tblDetails[[#This Row],[ACTUAL WORK]]</f>
        <v>20160</v>
      </c>
      <c r="S26" s="13">
        <f>INDEX(tblParameters[],MATCH(tblDetails[[#This Row],[PROJECT TYPE]],tblParameters[PROJECT TYPE],0),MATCH(tblDetails[[#Headers],[PROJECT MANAGER]],tblParameters[#Headers],0))*INDEX('PROJECT PARAMETERS'!$B$14:$H$14,1,MATCH(tblDetails[[#Headers],[PROJECT MANAGER]],tblParameters[#Headers],0))*tblDetails[[#This Row],[ACTUAL WORK]]</f>
        <v>13440</v>
      </c>
      <c r="T26" s="13">
        <f>INDEX(tblParameters[],MATCH(tblDetails[[#This Row],[PROJECT TYPE]],tblParameters[PROJECT TYPE],0),MATCH(tblDetails[[#Headers],[STRATEGY MANAGER]],tblParameters[#Headers],0))*INDEX('PROJECT PARAMETERS'!$B$14:$H$14,1,MATCH(tblDetails[[#Headers],[STRATEGY MANAGER]],tblParameters[#Headers],0))*tblDetails[[#This Row],[ACTUAL WORK]]</f>
        <v>16800</v>
      </c>
      <c r="U26" s="13">
        <f>INDEX(tblParameters[],MATCH(tblDetails[[#This Row],[PROJECT TYPE]],tblParameters[PROJECT TYPE],0),MATCH(tblDetails[[#Headers],[DESIGN SPECIALIST]],tblParameters[#Headers],0))*INDEX('PROJECT PARAMETERS'!$B$14:$H$14,1,MATCH(tblDetails[[#Headers],[DESIGN SPECIALIST]],tblParameters[#Headers],0))*tblDetails[[#This Row],[ACTUAL WORK]]</f>
        <v>11200</v>
      </c>
      <c r="V26" s="13">
        <f>INDEX(tblParameters[],MATCH(tblDetails[[#This Row],[PROJECT TYPE]],tblParameters[PROJECT TYPE],0),MATCH(tblDetails[[#Headers],[EVENT STAFF]],tblParameters[#Headers],0))*INDEX('PROJECT PARAMETERS'!$B$14:$H$14,1,MATCH(tblDetails[[#Headers],[EVENT STAFF]],tblParameters[#Headers],0))*tblDetails[[#This Row],[ACTUAL WORK]]</f>
        <v>0</v>
      </c>
      <c r="W26" s="13">
        <f>INDEX(tblParameters[],MATCH(tblDetails[[#This Row],[PROJECT TYPE]],tblParameters[PROJECT TYPE],0),MATCH(tblDetails[[#Headers],[ADMIN STAFF]],tblParameters[#Headers],0))*INDEX('PROJECT PARAMETERS'!$B$14:$H$14,1,MATCH(tblDetails[[#Headers],[ADMIN STAFF]],tblParameters[#Headers],0))*tblDetails[[#This Row],[ACTUAL WORK]]</f>
        <v>6720</v>
      </c>
    </row>
    <row r="27" spans="2:23" x14ac:dyDescent="0.2">
      <c r="B27" t="s">
        <v>32</v>
      </c>
      <c r="C27" t="s">
        <v>8</v>
      </c>
      <c r="D27" s="11">
        <v>41727</v>
      </c>
      <c r="E27" s="11">
        <v>41778</v>
      </c>
      <c r="F27" s="11">
        <v>41777</v>
      </c>
      <c r="G27" s="11">
        <v>41809</v>
      </c>
      <c r="H27">
        <v>525</v>
      </c>
      <c r="I27">
        <v>540</v>
      </c>
      <c r="J27">
        <f>DAYS360(tblDetails[[#This Row],[ESTIMATED START]],tblDetails[[#This Row],[ESTIMATED FINISH]],FALSE)</f>
        <v>50</v>
      </c>
      <c r="K27">
        <f>DAYS360(tblDetails[[#This Row],[ACTUAL START]],tblDetails[[#This Row],[ACTUAL FINISH]],FALSE)</f>
        <v>31</v>
      </c>
      <c r="L27" s="13">
        <f>INDEX(tblParameters[],MATCH(tblDetails[[#This Row],[PROJECT TYPE]],tblParameters[PROJECT TYPE],0),MATCH(tblDetails[[#Headers],[ACCOUNT MANAGER]],tblParameters[#Headers],0))*INDEX('PROJECT PARAMETERS'!$B$14:$H$14,1,MATCH(tblDetails[[#Headers],[ACCOUNT MANAGER]],tblParameters[#Headers],0))*tblDetails[[#This Row],[ESTIMATED WORK]]</f>
        <v>18900</v>
      </c>
      <c r="M27" s="13">
        <f>INDEX(tblParameters[],MATCH(tblDetails[[#This Row],[PROJECT TYPE]],tblParameters[PROJECT TYPE],0),MATCH(tblDetails[[#Headers],[PROJECT MANAGER]],tblParameters[#Headers],0))*INDEX('PROJECT PARAMETERS'!$B$14:$H$14,1,MATCH(tblDetails[[#Headers],[PROJECT MANAGER]],tblParameters[#Headers],0))*tblDetails[[#This Row],[ESTIMATED WORK]]</f>
        <v>37800</v>
      </c>
      <c r="N27" s="13">
        <f>INDEX(tblParameters[],MATCH(tblDetails[[#This Row],[PROJECT TYPE]],tblParameters[PROJECT TYPE],0),MATCH(tblDetails[[#Headers],[STRATEGY MANAGER]],tblParameters[#Headers],0))*INDEX('PROJECT PARAMETERS'!$B$14:$H$14,1,MATCH(tblDetails[[#Headers],[STRATEGY MANAGER]],tblParameters[#Headers],0))*tblDetails[[#This Row],[ESTIMATED WORK]]</f>
        <v>0</v>
      </c>
      <c r="O27" s="13">
        <f>INDEX(tblParameters[],MATCH(tblDetails[[#This Row],[PROJECT TYPE]],tblParameters[PROJECT TYPE],0),MATCH(tblDetails[[#Headers],[DESIGN SPECIALIST]],tblParameters[#Headers],0))*INDEX('PROJECT PARAMETERS'!$B$14:$H$14,1,MATCH(tblDetails[[#Headers],[DESIGN SPECIALIST]],tblParameters[#Headers],0))*tblDetails[[#This Row],[ESTIMATED WORK]]</f>
        <v>0</v>
      </c>
      <c r="P27" s="13">
        <f>INDEX(tblParameters[],MATCH(tblDetails[[#This Row],[PROJECT TYPE]],tblParameters[PROJECT TYPE],0),MATCH(tblDetails[[#Headers],[EVENT STAFF]],tblParameters[#Headers],0))*INDEX('PROJECT PARAMETERS'!$B$14:$H$14,1,MATCH(tblDetails[[#Headers],[EVENT STAFF]],tblParameters[#Headers],0))*tblDetails[[#This Row],[ESTIMATED WORK]]</f>
        <v>4200</v>
      </c>
      <c r="Q27" s="13">
        <f>INDEX(tblParameters[],MATCH(tblDetails[[#This Row],[PROJECT TYPE]],tblParameters[PROJECT TYPE],0),MATCH(tblDetails[[#Headers],[ADMIN STAFF]],tblParameters[#Headers],0))*INDEX('PROJECT PARAMETERS'!$B$14:$H$14,1,MATCH(tblDetails[[#Headers],[ADMIN STAFF]],tblParameters[#Headers],0))*tblDetails[[#This Row],[ESTIMATED WORK]]</f>
        <v>3150</v>
      </c>
      <c r="R27" s="13">
        <f>INDEX(tblParameters[],MATCH(tblDetails[[#This Row],[PROJECT TYPE]],tblParameters[PROJECT TYPE],0),MATCH(tblDetails[[#Headers],[ACCOUNT MANAGER]],tblParameters[#Headers],0))*INDEX('PROJECT PARAMETERS'!$B$14:$H$14,1,MATCH(tblDetails[[#Headers],[ACCOUNT MANAGER]],tblParameters[#Headers],0))*tblDetails[[#This Row],[ACTUAL WORK]]</f>
        <v>19440</v>
      </c>
      <c r="S27" s="13">
        <f>INDEX(tblParameters[],MATCH(tblDetails[[#This Row],[PROJECT TYPE]],tblParameters[PROJECT TYPE],0),MATCH(tblDetails[[#Headers],[PROJECT MANAGER]],tblParameters[#Headers],0))*INDEX('PROJECT PARAMETERS'!$B$14:$H$14,1,MATCH(tblDetails[[#Headers],[PROJECT MANAGER]],tblParameters[#Headers],0))*tblDetails[[#This Row],[ACTUAL WORK]]</f>
        <v>38880</v>
      </c>
      <c r="T27" s="13">
        <f>INDEX(tblParameters[],MATCH(tblDetails[[#This Row],[PROJECT TYPE]],tblParameters[PROJECT TYPE],0),MATCH(tblDetails[[#Headers],[STRATEGY MANAGER]],tblParameters[#Headers],0))*INDEX('PROJECT PARAMETERS'!$B$14:$H$14,1,MATCH(tblDetails[[#Headers],[STRATEGY MANAGER]],tblParameters[#Headers],0))*tblDetails[[#This Row],[ACTUAL WORK]]</f>
        <v>0</v>
      </c>
      <c r="U27" s="13">
        <f>INDEX(tblParameters[],MATCH(tblDetails[[#This Row],[PROJECT TYPE]],tblParameters[PROJECT TYPE],0),MATCH(tblDetails[[#Headers],[DESIGN SPECIALIST]],tblParameters[#Headers],0))*INDEX('PROJECT PARAMETERS'!$B$14:$H$14,1,MATCH(tblDetails[[#Headers],[DESIGN SPECIALIST]],tblParameters[#Headers],0))*tblDetails[[#This Row],[ACTUAL WORK]]</f>
        <v>0</v>
      </c>
      <c r="V27" s="13">
        <f>INDEX(tblParameters[],MATCH(tblDetails[[#This Row],[PROJECT TYPE]],tblParameters[PROJECT TYPE],0),MATCH(tblDetails[[#Headers],[EVENT STAFF]],tblParameters[#Headers],0))*INDEX('PROJECT PARAMETERS'!$B$14:$H$14,1,MATCH(tblDetails[[#Headers],[EVENT STAFF]],tblParameters[#Headers],0))*tblDetails[[#This Row],[ACTUAL WORK]]</f>
        <v>4320</v>
      </c>
      <c r="W27" s="13">
        <f>INDEX(tblParameters[],MATCH(tblDetails[[#This Row],[PROJECT TYPE]],tblParameters[PROJECT TYPE],0),MATCH(tblDetails[[#Headers],[ADMIN STAFF]],tblParameters[#Headers],0))*INDEX('PROJECT PARAMETERS'!$B$14:$H$14,1,MATCH(tblDetails[[#Headers],[ADMIN STAFF]],tblParameters[#Headers],0))*tblDetails[[#This Row],[ACTUAL WORK]]</f>
        <v>3240</v>
      </c>
    </row>
    <row r="28" spans="2:23" x14ac:dyDescent="0.2">
      <c r="B28" t="s">
        <v>33</v>
      </c>
      <c r="C28" t="s">
        <v>6</v>
      </c>
      <c r="D28" s="11">
        <v>41738</v>
      </c>
      <c r="E28" s="11">
        <v>41758</v>
      </c>
      <c r="F28" s="11">
        <v>41761</v>
      </c>
      <c r="G28" s="11">
        <v>41794</v>
      </c>
      <c r="H28">
        <v>180</v>
      </c>
      <c r="I28">
        <v>190</v>
      </c>
      <c r="J28">
        <f>DAYS360(tblDetails[[#This Row],[ESTIMATED START]],tblDetails[[#This Row],[ESTIMATED FINISH]],FALSE)</f>
        <v>20</v>
      </c>
      <c r="K28">
        <f>DAYS360(tblDetails[[#This Row],[ACTUAL START]],tblDetails[[#This Row],[ACTUAL FINISH]],FALSE)</f>
        <v>32</v>
      </c>
      <c r="L28" s="13">
        <f>INDEX(tblParameters[],MATCH(tblDetails[[#This Row],[PROJECT TYPE]],tblParameters[PROJECT TYPE],0),MATCH(tblDetails[[#Headers],[ACCOUNT MANAGER]],tblParameters[#Headers],0))*INDEX('PROJECT PARAMETERS'!$B$14:$H$14,1,MATCH(tblDetails[[#Headers],[ACCOUNT MANAGER]],tblParameters[#Headers],0))*tblDetails[[#This Row],[ESTIMATED WORK]]</f>
        <v>6480</v>
      </c>
      <c r="M28" s="13">
        <f>INDEX(tblParameters[],MATCH(tblDetails[[#This Row],[PROJECT TYPE]],tblParameters[PROJECT TYPE],0),MATCH(tblDetails[[#Headers],[PROJECT MANAGER]],tblParameters[#Headers],0))*INDEX('PROJECT PARAMETERS'!$B$14:$H$14,1,MATCH(tblDetails[[#Headers],[PROJECT MANAGER]],tblParameters[#Headers],0))*tblDetails[[#This Row],[ESTIMATED WORK]]</f>
        <v>10800</v>
      </c>
      <c r="N28" s="13">
        <f>INDEX(tblParameters[],MATCH(tblDetails[[#This Row],[PROJECT TYPE]],tblParameters[PROJECT TYPE],0),MATCH(tblDetails[[#Headers],[STRATEGY MANAGER]],tblParameters[#Headers],0))*INDEX('PROJECT PARAMETERS'!$B$14:$H$14,1,MATCH(tblDetails[[#Headers],[STRATEGY MANAGER]],tblParameters[#Headers],0))*tblDetails[[#This Row],[ESTIMATED WORK]]</f>
        <v>2700</v>
      </c>
      <c r="O28" s="13">
        <f>INDEX(tblParameters[],MATCH(tblDetails[[#This Row],[PROJECT TYPE]],tblParameters[PROJECT TYPE],0),MATCH(tblDetails[[#Headers],[DESIGN SPECIALIST]],tblParameters[#Headers],0))*INDEX('PROJECT PARAMETERS'!$B$14:$H$14,1,MATCH(tblDetails[[#Headers],[DESIGN SPECIALIST]],tblParameters[#Headers],0))*tblDetails[[#This Row],[ESTIMATED WORK]]</f>
        <v>1800</v>
      </c>
      <c r="P28" s="13">
        <f>INDEX(tblParameters[],MATCH(tblDetails[[#This Row],[PROJECT TYPE]],tblParameters[PROJECT TYPE],0),MATCH(tblDetails[[#Headers],[EVENT STAFF]],tblParameters[#Headers],0))*INDEX('PROJECT PARAMETERS'!$B$14:$H$14,1,MATCH(tblDetails[[#Headers],[EVENT STAFF]],tblParameters[#Headers],0))*tblDetails[[#This Row],[ESTIMATED WORK]]</f>
        <v>0</v>
      </c>
      <c r="Q28" s="13">
        <f>INDEX(tblParameters[],MATCH(tblDetails[[#This Row],[PROJECT TYPE]],tblParameters[PROJECT TYPE],0),MATCH(tblDetails[[#Headers],[ADMIN STAFF]],tblParameters[#Headers],0))*INDEX('PROJECT PARAMETERS'!$B$14:$H$14,1,MATCH(tblDetails[[#Headers],[ADMIN STAFF]],tblParameters[#Headers],0))*tblDetails[[#This Row],[ESTIMATED WORK]]</f>
        <v>1080</v>
      </c>
      <c r="R28" s="13">
        <f>INDEX(tblParameters[],MATCH(tblDetails[[#This Row],[PROJECT TYPE]],tblParameters[PROJECT TYPE],0),MATCH(tblDetails[[#Headers],[ACCOUNT MANAGER]],tblParameters[#Headers],0))*INDEX('PROJECT PARAMETERS'!$B$14:$H$14,1,MATCH(tblDetails[[#Headers],[ACCOUNT MANAGER]],tblParameters[#Headers],0))*tblDetails[[#This Row],[ACTUAL WORK]]</f>
        <v>6840</v>
      </c>
      <c r="S28" s="13">
        <f>INDEX(tblParameters[],MATCH(tblDetails[[#This Row],[PROJECT TYPE]],tblParameters[PROJECT TYPE],0),MATCH(tblDetails[[#Headers],[PROJECT MANAGER]],tblParameters[#Headers],0))*INDEX('PROJECT PARAMETERS'!$B$14:$H$14,1,MATCH(tblDetails[[#Headers],[PROJECT MANAGER]],tblParameters[#Headers],0))*tblDetails[[#This Row],[ACTUAL WORK]]</f>
        <v>11400</v>
      </c>
      <c r="T28" s="13">
        <f>INDEX(tblParameters[],MATCH(tblDetails[[#This Row],[PROJECT TYPE]],tblParameters[PROJECT TYPE],0),MATCH(tblDetails[[#Headers],[STRATEGY MANAGER]],tblParameters[#Headers],0))*INDEX('PROJECT PARAMETERS'!$B$14:$H$14,1,MATCH(tblDetails[[#Headers],[STRATEGY MANAGER]],tblParameters[#Headers],0))*tblDetails[[#This Row],[ACTUAL WORK]]</f>
        <v>2850</v>
      </c>
      <c r="U28" s="13">
        <f>INDEX(tblParameters[],MATCH(tblDetails[[#This Row],[PROJECT TYPE]],tblParameters[PROJECT TYPE],0),MATCH(tblDetails[[#Headers],[DESIGN SPECIALIST]],tblParameters[#Headers],0))*INDEX('PROJECT PARAMETERS'!$B$14:$H$14,1,MATCH(tblDetails[[#Headers],[DESIGN SPECIALIST]],tblParameters[#Headers],0))*tblDetails[[#This Row],[ACTUAL WORK]]</f>
        <v>1900</v>
      </c>
      <c r="V28" s="13">
        <f>INDEX(tblParameters[],MATCH(tblDetails[[#This Row],[PROJECT TYPE]],tblParameters[PROJECT TYPE],0),MATCH(tblDetails[[#Headers],[EVENT STAFF]],tblParameters[#Headers],0))*INDEX('PROJECT PARAMETERS'!$B$14:$H$14,1,MATCH(tblDetails[[#Headers],[EVENT STAFF]],tblParameters[#Headers],0))*tblDetails[[#This Row],[ACTUAL WORK]]</f>
        <v>0</v>
      </c>
      <c r="W28" s="13">
        <f>INDEX(tblParameters[],MATCH(tblDetails[[#This Row],[PROJECT TYPE]],tblParameters[PROJECT TYPE],0),MATCH(tblDetails[[#Headers],[ADMIN STAFF]],tblParameters[#Headers],0))*INDEX('PROJECT PARAMETERS'!$B$14:$H$14,1,MATCH(tblDetails[[#Headers],[ADMIN STAFF]],tblParameters[#Headers],0))*tblDetails[[#This Row],[ACTUAL WORK]]</f>
        <v>1140</v>
      </c>
    </row>
    <row r="29" spans="2:23" x14ac:dyDescent="0.2">
      <c r="B29" s="5" t="s">
        <v>34</v>
      </c>
      <c r="C29" s="5"/>
      <c r="D29" s="5"/>
      <c r="E29" s="5"/>
      <c r="F29" s="5"/>
      <c r="G29" s="5"/>
      <c r="H29" s="5">
        <f>SUBTOTAL(109,tblDetails[ESTIMATED WORK])</f>
        <v>7565</v>
      </c>
      <c r="I29" s="5">
        <f>SUBTOTAL(109,tblDetails[ACTUAL WORK])</f>
        <v>7610</v>
      </c>
      <c r="J29" s="5">
        <f>SUBTOTAL(109,tblDetails[ESTIMATED DURATION])</f>
        <v>1223</v>
      </c>
      <c r="K29" s="5">
        <f>SUBTOTAL(109,tblDetails[ACTUAL DURATION])</f>
        <v>1205</v>
      </c>
      <c r="L29" s="5"/>
      <c r="M29" s="5"/>
      <c r="N29" s="5"/>
      <c r="O29" s="5"/>
      <c r="P29" s="5"/>
      <c r="Q29" s="5"/>
      <c r="R29" s="5"/>
      <c r="S29" s="5"/>
      <c r="T29" s="5"/>
      <c r="U29" s="5"/>
      <c r="V29" s="5"/>
      <c r="W29" s="5"/>
    </row>
  </sheetData>
  <mergeCells count="2">
    <mergeCell ref="L5:Q5"/>
    <mergeCell ref="R5:W5"/>
  </mergeCells>
  <dataValidations count="1">
    <dataValidation type="list" allowBlank="1" showInputMessage="1" showErrorMessage="1" sqref="C7:C28">
      <formula1>ProjectType</formula1>
    </dataValidation>
  </dataValidations>
  <printOptions horizontalCentered="1"/>
  <pageMargins left="0.4" right="0.4" top="0.4" bottom="0.4" header="0.3" footer="0.3"/>
  <pageSetup scale="95" fitToHeight="0" orientation="landscape" horizontalDpi="4294967293" verticalDpi="0" r:id="rId1"/>
  <headerFooter differentFirst="1">
    <oddFoote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pageSetUpPr fitToPage="1"/>
  </sheetPr>
  <dimension ref="B1:N29"/>
  <sheetViews>
    <sheetView showGridLines="0" workbookViewId="0"/>
  </sheetViews>
  <sheetFormatPr defaultRowHeight="14.25" x14ac:dyDescent="0.2"/>
  <cols>
    <col min="1" max="1" width="1.7109375" style="1" customWidth="1"/>
    <col min="2" max="2" width="23.5703125" style="1" bestFit="1" customWidth="1"/>
    <col min="3" max="6" width="12" style="1" customWidth="1"/>
    <col min="7" max="7" width="10.85546875" style="1" customWidth="1"/>
    <col min="8" max="8" width="12.42578125" style="1" customWidth="1"/>
    <col min="9" max="12" width="12" style="1" bestFit="1" customWidth="1"/>
    <col min="13" max="13" width="12.140625" style="1" customWidth="1"/>
    <col min="14" max="14" width="12.42578125" style="1" customWidth="1"/>
    <col min="15" max="16384" width="9.140625" style="1"/>
  </cols>
  <sheetData>
    <row r="1" spans="2:14" ht="9.9499999999999993" customHeight="1" x14ac:dyDescent="0.2"/>
    <row r="2" spans="2:14" ht="25.5" x14ac:dyDescent="0.35">
      <c r="B2" s="2" t="str">
        <f>'PROJECT PARAMETERS'!B2</f>
        <v>[Company Name]</v>
      </c>
      <c r="C2" s="2"/>
      <c r="D2" s="2"/>
      <c r="E2" s="2"/>
      <c r="F2" s="2"/>
      <c r="G2" s="2"/>
      <c r="H2" s="2"/>
      <c r="I2" s="2"/>
      <c r="J2" s="2"/>
      <c r="K2" s="2"/>
    </row>
    <row r="3" spans="2:14" ht="19.5" x14ac:dyDescent="0.25">
      <c r="B3" s="3" t="s">
        <v>1</v>
      </c>
      <c r="C3" s="3"/>
      <c r="D3" s="3"/>
      <c r="E3" s="3"/>
      <c r="F3" s="3"/>
      <c r="G3" s="3"/>
      <c r="H3" s="3"/>
      <c r="I3" s="3"/>
      <c r="J3" s="3"/>
      <c r="K3" s="3"/>
    </row>
    <row r="4" spans="2:14" ht="15" x14ac:dyDescent="0.2">
      <c r="B4" s="4" t="s">
        <v>2</v>
      </c>
      <c r="C4" s="4"/>
      <c r="D4" s="4"/>
      <c r="E4" s="4"/>
      <c r="F4" s="4"/>
      <c r="G4" s="4"/>
      <c r="H4" s="4"/>
      <c r="I4" s="4"/>
      <c r="J4" s="4"/>
      <c r="K4" s="4"/>
    </row>
    <row r="6" spans="2:14" s="17" customFormat="1" ht="38.25" x14ac:dyDescent="0.2">
      <c r="B6" s="15" t="s">
        <v>37</v>
      </c>
      <c r="C6" s="16" t="s">
        <v>60</v>
      </c>
      <c r="D6" s="16" t="s">
        <v>61</v>
      </c>
      <c r="E6" s="16" t="s">
        <v>62</v>
      </c>
      <c r="F6" s="16" t="s">
        <v>63</v>
      </c>
      <c r="G6" s="16" t="s">
        <v>64</v>
      </c>
      <c r="H6" s="16" t="s">
        <v>65</v>
      </c>
      <c r="I6" s="16" t="s">
        <v>66</v>
      </c>
      <c r="J6" s="16" t="s">
        <v>67</v>
      </c>
      <c r="K6" s="16" t="s">
        <v>68</v>
      </c>
      <c r="L6" s="16" t="s">
        <v>69</v>
      </c>
      <c r="M6" s="16" t="s">
        <v>70</v>
      </c>
      <c r="N6" s="16" t="s">
        <v>71</v>
      </c>
    </row>
    <row r="7" spans="2:14" x14ac:dyDescent="0.2">
      <c r="B7" t="s">
        <v>12</v>
      </c>
      <c r="C7" s="14">
        <v>7200</v>
      </c>
      <c r="D7" s="14">
        <v>2400</v>
      </c>
      <c r="E7" s="14">
        <v>18000</v>
      </c>
      <c r="F7" s="14">
        <v>0</v>
      </c>
      <c r="G7" s="14">
        <v>0</v>
      </c>
      <c r="H7" s="14">
        <v>1200</v>
      </c>
      <c r="I7" s="14">
        <v>7920</v>
      </c>
      <c r="J7" s="14">
        <v>2640</v>
      </c>
      <c r="K7" s="14">
        <v>19800</v>
      </c>
      <c r="L7" s="14">
        <v>0</v>
      </c>
      <c r="M7" s="14">
        <v>0</v>
      </c>
      <c r="N7" s="14">
        <v>1320</v>
      </c>
    </row>
    <row r="8" spans="2:14" x14ac:dyDescent="0.2">
      <c r="B8" t="s">
        <v>13</v>
      </c>
      <c r="C8" s="14">
        <v>14400</v>
      </c>
      <c r="D8" s="14">
        <v>24000</v>
      </c>
      <c r="E8" s="14">
        <v>6000</v>
      </c>
      <c r="F8" s="14">
        <v>4000</v>
      </c>
      <c r="G8" s="14">
        <v>0</v>
      </c>
      <c r="H8" s="14">
        <v>2400</v>
      </c>
      <c r="I8" s="14">
        <v>14040</v>
      </c>
      <c r="J8" s="14">
        <v>23400</v>
      </c>
      <c r="K8" s="14">
        <v>5850</v>
      </c>
      <c r="L8" s="14">
        <v>3900</v>
      </c>
      <c r="M8" s="14">
        <v>0</v>
      </c>
      <c r="N8" s="14">
        <v>2340</v>
      </c>
    </row>
    <row r="9" spans="2:14" x14ac:dyDescent="0.2">
      <c r="B9" t="s">
        <v>14</v>
      </c>
      <c r="C9" s="14">
        <v>18000</v>
      </c>
      <c r="D9" s="14">
        <v>12000</v>
      </c>
      <c r="E9" s="14">
        <v>0</v>
      </c>
      <c r="F9" s="14">
        <v>25000</v>
      </c>
      <c r="G9" s="14">
        <v>0</v>
      </c>
      <c r="H9" s="14">
        <v>3000</v>
      </c>
      <c r="I9" s="14">
        <v>18000</v>
      </c>
      <c r="J9" s="14">
        <v>12000</v>
      </c>
      <c r="K9" s="14">
        <v>0</v>
      </c>
      <c r="L9" s="14">
        <v>25000</v>
      </c>
      <c r="M9" s="14">
        <v>0</v>
      </c>
      <c r="N9" s="14">
        <v>3000</v>
      </c>
    </row>
    <row r="10" spans="2:14" x14ac:dyDescent="0.2">
      <c r="B10" t="s">
        <v>15</v>
      </c>
      <c r="C10" s="14">
        <v>5400</v>
      </c>
      <c r="D10" s="14">
        <v>10800</v>
      </c>
      <c r="E10" s="14">
        <v>0</v>
      </c>
      <c r="F10" s="14">
        <v>0</v>
      </c>
      <c r="G10" s="14">
        <v>1200</v>
      </c>
      <c r="H10" s="14">
        <v>900</v>
      </c>
      <c r="I10" s="14">
        <v>5220</v>
      </c>
      <c r="J10" s="14">
        <v>10440</v>
      </c>
      <c r="K10" s="14">
        <v>0</v>
      </c>
      <c r="L10" s="14">
        <v>0</v>
      </c>
      <c r="M10" s="14">
        <v>1160</v>
      </c>
      <c r="N10" s="14">
        <v>870</v>
      </c>
    </row>
    <row r="11" spans="2:14" x14ac:dyDescent="0.2">
      <c r="B11" t="s">
        <v>16</v>
      </c>
      <c r="C11" s="14">
        <v>9000</v>
      </c>
      <c r="D11" s="14">
        <v>3000</v>
      </c>
      <c r="E11" s="14">
        <v>0</v>
      </c>
      <c r="F11" s="14">
        <v>0</v>
      </c>
      <c r="G11" s="14">
        <v>12000</v>
      </c>
      <c r="H11" s="14">
        <v>1500</v>
      </c>
      <c r="I11" s="14">
        <v>9180</v>
      </c>
      <c r="J11" s="14">
        <v>3060</v>
      </c>
      <c r="K11" s="14">
        <v>0</v>
      </c>
      <c r="L11" s="14">
        <v>0</v>
      </c>
      <c r="M11" s="14">
        <v>12240</v>
      </c>
      <c r="N11" s="14">
        <v>1530</v>
      </c>
    </row>
    <row r="12" spans="2:14" x14ac:dyDescent="0.2">
      <c r="B12" t="s">
        <v>17</v>
      </c>
      <c r="C12" s="14">
        <v>10800</v>
      </c>
      <c r="D12" s="14">
        <v>7200</v>
      </c>
      <c r="E12" s="14">
        <v>9000</v>
      </c>
      <c r="F12" s="14">
        <v>6000</v>
      </c>
      <c r="G12" s="14">
        <v>0</v>
      </c>
      <c r="H12" s="14">
        <v>3600</v>
      </c>
      <c r="I12" s="14">
        <v>11160</v>
      </c>
      <c r="J12" s="14">
        <v>7440</v>
      </c>
      <c r="K12" s="14">
        <v>9300</v>
      </c>
      <c r="L12" s="14">
        <v>6200</v>
      </c>
      <c r="M12" s="14">
        <v>0</v>
      </c>
      <c r="N12" s="14">
        <v>3720</v>
      </c>
    </row>
    <row r="13" spans="2:14" x14ac:dyDescent="0.2">
      <c r="B13" t="s">
        <v>18</v>
      </c>
      <c r="C13" s="14">
        <v>18000</v>
      </c>
      <c r="D13" s="14">
        <v>30000</v>
      </c>
      <c r="E13" s="14">
        <v>7500</v>
      </c>
      <c r="F13" s="14">
        <v>5000</v>
      </c>
      <c r="G13" s="14">
        <v>0</v>
      </c>
      <c r="H13" s="14">
        <v>3000</v>
      </c>
      <c r="I13" s="14">
        <v>18360</v>
      </c>
      <c r="J13" s="14">
        <v>30600</v>
      </c>
      <c r="K13" s="14">
        <v>7650</v>
      </c>
      <c r="L13" s="14">
        <v>5100</v>
      </c>
      <c r="M13" s="14">
        <v>0</v>
      </c>
      <c r="N13" s="14">
        <v>3060</v>
      </c>
    </row>
    <row r="14" spans="2:14" x14ac:dyDescent="0.2">
      <c r="B14" t="s">
        <v>20</v>
      </c>
      <c r="C14" s="14">
        <v>16200</v>
      </c>
      <c r="D14" s="14">
        <v>10800</v>
      </c>
      <c r="E14" s="14">
        <v>13500</v>
      </c>
      <c r="F14" s="14">
        <v>9000</v>
      </c>
      <c r="G14" s="14">
        <v>0</v>
      </c>
      <c r="H14" s="14">
        <v>5400</v>
      </c>
      <c r="I14" s="14">
        <v>15480</v>
      </c>
      <c r="J14" s="14">
        <v>10320</v>
      </c>
      <c r="K14" s="14">
        <v>12900</v>
      </c>
      <c r="L14" s="14">
        <v>8600</v>
      </c>
      <c r="M14" s="14">
        <v>0</v>
      </c>
      <c r="N14" s="14">
        <v>5160</v>
      </c>
    </row>
    <row r="15" spans="2:14" x14ac:dyDescent="0.2">
      <c r="B15" t="s">
        <v>19</v>
      </c>
      <c r="C15" s="14">
        <v>27000</v>
      </c>
      <c r="D15" s="14">
        <v>54000</v>
      </c>
      <c r="E15" s="14">
        <v>0</v>
      </c>
      <c r="F15" s="14">
        <v>0</v>
      </c>
      <c r="G15" s="14">
        <v>6000</v>
      </c>
      <c r="H15" s="14">
        <v>4500</v>
      </c>
      <c r="I15" s="14">
        <v>28440</v>
      </c>
      <c r="J15" s="14">
        <v>56880</v>
      </c>
      <c r="K15" s="14">
        <v>0</v>
      </c>
      <c r="L15" s="14">
        <v>0</v>
      </c>
      <c r="M15" s="14">
        <v>6320</v>
      </c>
      <c r="N15" s="14">
        <v>4740</v>
      </c>
    </row>
    <row r="16" spans="2:14" x14ac:dyDescent="0.2">
      <c r="B16" t="s">
        <v>23</v>
      </c>
      <c r="C16" s="14">
        <v>6480</v>
      </c>
      <c r="D16" s="14">
        <v>2160</v>
      </c>
      <c r="E16" s="14">
        <v>16200</v>
      </c>
      <c r="F16" s="14">
        <v>0</v>
      </c>
      <c r="G16" s="14">
        <v>0</v>
      </c>
      <c r="H16" s="14">
        <v>1080</v>
      </c>
      <c r="I16" s="14">
        <v>6840</v>
      </c>
      <c r="J16" s="14">
        <v>2280</v>
      </c>
      <c r="K16" s="14">
        <v>17100</v>
      </c>
      <c r="L16" s="14">
        <v>0</v>
      </c>
      <c r="M16" s="14">
        <v>0</v>
      </c>
      <c r="N16" s="14">
        <v>1140</v>
      </c>
    </row>
    <row r="17" spans="2:14" x14ac:dyDescent="0.2">
      <c r="B17" t="s">
        <v>22</v>
      </c>
      <c r="C17" s="14">
        <v>7200</v>
      </c>
      <c r="D17" s="14">
        <v>12000</v>
      </c>
      <c r="E17" s="14">
        <v>3000</v>
      </c>
      <c r="F17" s="14">
        <v>2000</v>
      </c>
      <c r="G17" s="14">
        <v>0</v>
      </c>
      <c r="H17" s="14">
        <v>1200</v>
      </c>
      <c r="I17" s="14">
        <v>8460</v>
      </c>
      <c r="J17" s="14">
        <v>14100</v>
      </c>
      <c r="K17" s="14">
        <v>3525</v>
      </c>
      <c r="L17" s="14">
        <v>2350</v>
      </c>
      <c r="M17" s="14">
        <v>0</v>
      </c>
      <c r="N17" s="14">
        <v>1410</v>
      </c>
    </row>
    <row r="18" spans="2:14" x14ac:dyDescent="0.2">
      <c r="B18" t="s">
        <v>21</v>
      </c>
      <c r="C18" s="14">
        <v>9000</v>
      </c>
      <c r="D18" s="14">
        <v>3000</v>
      </c>
      <c r="E18" s="14">
        <v>0</v>
      </c>
      <c r="F18" s="14">
        <v>0</v>
      </c>
      <c r="G18" s="14">
        <v>12000</v>
      </c>
      <c r="H18" s="14">
        <v>1500</v>
      </c>
      <c r="I18" s="14">
        <v>8460</v>
      </c>
      <c r="J18" s="14">
        <v>2820</v>
      </c>
      <c r="K18" s="14">
        <v>0</v>
      </c>
      <c r="L18" s="14">
        <v>0</v>
      </c>
      <c r="M18" s="14">
        <v>11280</v>
      </c>
      <c r="N18" s="14">
        <v>1410</v>
      </c>
    </row>
    <row r="19" spans="2:14" x14ac:dyDescent="0.2">
      <c r="B19" t="s">
        <v>24</v>
      </c>
      <c r="C19" s="14">
        <v>9000</v>
      </c>
      <c r="D19" s="14">
        <v>3000</v>
      </c>
      <c r="E19" s="14">
        <v>0</v>
      </c>
      <c r="F19" s="14">
        <v>0</v>
      </c>
      <c r="G19" s="14">
        <v>12000</v>
      </c>
      <c r="H19" s="14">
        <v>1500</v>
      </c>
      <c r="I19" s="14">
        <v>8280</v>
      </c>
      <c r="J19" s="14">
        <v>2760</v>
      </c>
      <c r="K19" s="14">
        <v>0</v>
      </c>
      <c r="L19" s="14">
        <v>0</v>
      </c>
      <c r="M19" s="14">
        <v>11040</v>
      </c>
      <c r="N19" s="14">
        <v>1380</v>
      </c>
    </row>
    <row r="20" spans="2:14" x14ac:dyDescent="0.2">
      <c r="B20" t="s">
        <v>25</v>
      </c>
      <c r="C20" s="14">
        <v>8640</v>
      </c>
      <c r="D20" s="14">
        <v>17280</v>
      </c>
      <c r="E20" s="14">
        <v>0</v>
      </c>
      <c r="F20" s="14">
        <v>0</v>
      </c>
      <c r="G20" s="14">
        <v>1920</v>
      </c>
      <c r="H20" s="14">
        <v>1440</v>
      </c>
      <c r="I20" s="14">
        <v>8100</v>
      </c>
      <c r="J20" s="14">
        <v>16200</v>
      </c>
      <c r="K20" s="14">
        <v>0</v>
      </c>
      <c r="L20" s="14">
        <v>0</v>
      </c>
      <c r="M20" s="14">
        <v>1800</v>
      </c>
      <c r="N20" s="14">
        <v>1350</v>
      </c>
    </row>
    <row r="21" spans="2:14" x14ac:dyDescent="0.2">
      <c r="B21" t="s">
        <v>26</v>
      </c>
      <c r="C21" s="14">
        <v>11520</v>
      </c>
      <c r="D21" s="14">
        <v>7680</v>
      </c>
      <c r="E21" s="14">
        <v>0</v>
      </c>
      <c r="F21" s="14">
        <v>16000</v>
      </c>
      <c r="G21" s="14">
        <v>0</v>
      </c>
      <c r="H21" s="14">
        <v>1920</v>
      </c>
      <c r="I21" s="14">
        <v>10980</v>
      </c>
      <c r="J21" s="14">
        <v>7320</v>
      </c>
      <c r="K21" s="14">
        <v>0</v>
      </c>
      <c r="L21" s="14">
        <v>15250</v>
      </c>
      <c r="M21" s="14">
        <v>0</v>
      </c>
      <c r="N21" s="14">
        <v>1830</v>
      </c>
    </row>
    <row r="22" spans="2:14" x14ac:dyDescent="0.2">
      <c r="B22" t="s">
        <v>27</v>
      </c>
      <c r="C22" s="14">
        <v>19800</v>
      </c>
      <c r="D22" s="14">
        <v>33000</v>
      </c>
      <c r="E22" s="14">
        <v>8250</v>
      </c>
      <c r="F22" s="14">
        <v>5500</v>
      </c>
      <c r="G22" s="14">
        <v>0</v>
      </c>
      <c r="H22" s="14">
        <v>3300</v>
      </c>
      <c r="I22" s="14">
        <v>20340</v>
      </c>
      <c r="J22" s="14">
        <v>33900</v>
      </c>
      <c r="K22" s="14">
        <v>8475</v>
      </c>
      <c r="L22" s="14">
        <v>5650</v>
      </c>
      <c r="M22" s="14">
        <v>0</v>
      </c>
      <c r="N22" s="14">
        <v>3390</v>
      </c>
    </row>
    <row r="23" spans="2:14" x14ac:dyDescent="0.2">
      <c r="B23" t="s">
        <v>28</v>
      </c>
      <c r="C23" s="14">
        <v>12600</v>
      </c>
      <c r="D23" s="14">
        <v>8400</v>
      </c>
      <c r="E23" s="14">
        <v>0</v>
      </c>
      <c r="F23" s="14">
        <v>17500</v>
      </c>
      <c r="G23" s="14">
        <v>0</v>
      </c>
      <c r="H23" s="14">
        <v>2100</v>
      </c>
      <c r="I23" s="14">
        <v>12600</v>
      </c>
      <c r="J23" s="14">
        <v>8400</v>
      </c>
      <c r="K23" s="14">
        <v>0</v>
      </c>
      <c r="L23" s="14">
        <v>17500</v>
      </c>
      <c r="M23" s="14">
        <v>0</v>
      </c>
      <c r="N23" s="14">
        <v>2100</v>
      </c>
    </row>
    <row r="24" spans="2:14" x14ac:dyDescent="0.2">
      <c r="B24" t="s">
        <v>29</v>
      </c>
      <c r="C24" s="14">
        <v>7200</v>
      </c>
      <c r="D24" s="14">
        <v>2400</v>
      </c>
      <c r="E24" s="14">
        <v>18000</v>
      </c>
      <c r="F24" s="14">
        <v>0</v>
      </c>
      <c r="G24" s="14">
        <v>0</v>
      </c>
      <c r="H24" s="14">
        <v>1200</v>
      </c>
      <c r="I24" s="14">
        <v>7380</v>
      </c>
      <c r="J24" s="14">
        <v>2460</v>
      </c>
      <c r="K24" s="14">
        <v>18450</v>
      </c>
      <c r="L24" s="14">
        <v>0</v>
      </c>
      <c r="M24" s="14">
        <v>0</v>
      </c>
      <c r="N24" s="14">
        <v>1230</v>
      </c>
    </row>
    <row r="25" spans="2:14" x14ac:dyDescent="0.2">
      <c r="B25" t="s">
        <v>30</v>
      </c>
      <c r="C25" s="14">
        <v>7920</v>
      </c>
      <c r="D25" s="14">
        <v>13200</v>
      </c>
      <c r="E25" s="14">
        <v>3300</v>
      </c>
      <c r="F25" s="14">
        <v>2200</v>
      </c>
      <c r="G25" s="14">
        <v>0</v>
      </c>
      <c r="H25" s="14">
        <v>1320</v>
      </c>
      <c r="I25" s="14">
        <v>8280</v>
      </c>
      <c r="J25" s="14">
        <v>13800</v>
      </c>
      <c r="K25" s="14">
        <v>3450</v>
      </c>
      <c r="L25" s="14">
        <v>2300</v>
      </c>
      <c r="M25" s="14">
        <v>0</v>
      </c>
      <c r="N25" s="14">
        <v>1380</v>
      </c>
    </row>
    <row r="26" spans="2:14" x14ac:dyDescent="0.2">
      <c r="B26" t="s">
        <v>31</v>
      </c>
      <c r="C26" s="14">
        <v>21600</v>
      </c>
      <c r="D26" s="14">
        <v>14400</v>
      </c>
      <c r="E26" s="14">
        <v>18000</v>
      </c>
      <c r="F26" s="14">
        <v>12000</v>
      </c>
      <c r="G26" s="14">
        <v>0</v>
      </c>
      <c r="H26" s="14">
        <v>7200</v>
      </c>
      <c r="I26" s="14">
        <v>20160</v>
      </c>
      <c r="J26" s="14">
        <v>13440</v>
      </c>
      <c r="K26" s="14">
        <v>16800</v>
      </c>
      <c r="L26" s="14">
        <v>11200</v>
      </c>
      <c r="M26" s="14">
        <v>0</v>
      </c>
      <c r="N26" s="14">
        <v>6720</v>
      </c>
    </row>
    <row r="27" spans="2:14" x14ac:dyDescent="0.2">
      <c r="B27" t="s">
        <v>32</v>
      </c>
      <c r="C27" s="14">
        <v>18900</v>
      </c>
      <c r="D27" s="14">
        <v>37800</v>
      </c>
      <c r="E27" s="14">
        <v>0</v>
      </c>
      <c r="F27" s="14">
        <v>0</v>
      </c>
      <c r="G27" s="14">
        <v>4200</v>
      </c>
      <c r="H27" s="14">
        <v>3150</v>
      </c>
      <c r="I27" s="14">
        <v>19440</v>
      </c>
      <c r="J27" s="14">
        <v>38880</v>
      </c>
      <c r="K27" s="14">
        <v>0</v>
      </c>
      <c r="L27" s="14">
        <v>0</v>
      </c>
      <c r="M27" s="14">
        <v>4320</v>
      </c>
      <c r="N27" s="14">
        <v>3240</v>
      </c>
    </row>
    <row r="28" spans="2:14" x14ac:dyDescent="0.2">
      <c r="B28" t="s">
        <v>33</v>
      </c>
      <c r="C28" s="14">
        <v>6480</v>
      </c>
      <c r="D28" s="14">
        <v>10800</v>
      </c>
      <c r="E28" s="14">
        <v>2700</v>
      </c>
      <c r="F28" s="14">
        <v>1800</v>
      </c>
      <c r="G28" s="14">
        <v>0</v>
      </c>
      <c r="H28" s="14">
        <v>1080</v>
      </c>
      <c r="I28" s="14">
        <v>6840</v>
      </c>
      <c r="J28" s="14">
        <v>11400</v>
      </c>
      <c r="K28" s="14">
        <v>2850</v>
      </c>
      <c r="L28" s="14">
        <v>1900</v>
      </c>
      <c r="M28" s="14">
        <v>0</v>
      </c>
      <c r="N28" s="14">
        <v>1140</v>
      </c>
    </row>
    <row r="29" spans="2:14" x14ac:dyDescent="0.2">
      <c r="B29" t="s">
        <v>45</v>
      </c>
      <c r="C29" s="14">
        <v>272340</v>
      </c>
      <c r="D29" s="14">
        <v>319320</v>
      </c>
      <c r="E29" s="14">
        <v>123450</v>
      </c>
      <c r="F29" s="14">
        <v>106000</v>
      </c>
      <c r="G29" s="14">
        <v>49320</v>
      </c>
      <c r="H29" s="14">
        <v>53490</v>
      </c>
      <c r="I29" s="14">
        <v>273960</v>
      </c>
      <c r="J29" s="14">
        <v>324540</v>
      </c>
      <c r="K29" s="14">
        <v>126150</v>
      </c>
      <c r="L29" s="14">
        <v>104950</v>
      </c>
      <c r="M29" s="14">
        <v>48160</v>
      </c>
      <c r="N29" s="14">
        <v>53460</v>
      </c>
    </row>
  </sheetData>
  <printOptions horizontalCentered="1"/>
  <pageMargins left="0.4" right="0.4" top="0.4" bottom="0.4" header="0.3" footer="0.3"/>
  <pageSetup scale="78" fitToHeight="0" orientation="landscape" horizontalDpi="4294967293" verticalDpi="0" r:id="rId2"/>
  <headerFooter differentFirst="1">
    <oddFooter>Page &amp;P of &amp;N</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597C8123-92DA-43CB-B0E3-9E20E1E393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PROJECT PARAMETERS</vt:lpstr>
      <vt:lpstr>PROJECT DETAILS</vt:lpstr>
      <vt:lpstr>PROJECT TOTALS</vt:lpstr>
      <vt:lpstr>'PROJECT DETAILS'!Print_Titles</vt:lpstr>
      <vt:lpstr>'PROJECT TOTALS'!Print_Titles</vt:lpstr>
      <vt:lpstr>ProjectType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Kenan Çılman</dc:creator>
  <cp:keywords/>
  <cp:lastModifiedBy>Kenan Çılman</cp:lastModifiedBy>
  <dcterms:created xsi:type="dcterms:W3CDTF">2014-10-26T17:10:55Z</dcterms:created>
  <dcterms:modified xsi:type="dcterms:W3CDTF">2014-10-26T17:10:55Z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TC040991709991</vt:lpwstr>
  </property>
</Properties>
</file>